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amcclelland\Documents\My Documents\My Documents\1. Omnia\Contract Additions\2022 price increase\"/>
    </mc:Choice>
  </mc:AlternateContent>
  <xr:revisionPtr revIDLastSave="0" documentId="13_ncr:1_{AA1AC17D-AC2D-41FB-8F45-37C136C785CA}" xr6:coauthVersionLast="36" xr6:coauthVersionMax="36" xr10:uidLastSave="{00000000-0000-0000-0000-000000000000}"/>
  <bookViews>
    <workbookView xWindow="0" yWindow="0" windowWidth="19200" windowHeight="8350" xr2:uid="{00000000-000D-0000-FFFF-FFFF00000000}"/>
  </bookViews>
  <sheets>
    <sheet name="2021 Approved OMNIA Dealers" sheetId="2" r:id="rId1"/>
  </sheets>
  <calcPr calcId="191029"/>
</workbook>
</file>

<file path=xl/calcChain.xml><?xml version="1.0" encoding="utf-8"?>
<calcChain xmlns="http://schemas.openxmlformats.org/spreadsheetml/2006/main">
  <c r="F452" i="2" l="1"/>
  <c r="E452" i="2"/>
  <c r="D452" i="2"/>
  <c r="C452" i="2"/>
  <c r="A452" i="2"/>
  <c r="F451" i="2"/>
  <c r="E451" i="2"/>
  <c r="D451" i="2"/>
  <c r="C451" i="2"/>
  <c r="B451" i="2"/>
  <c r="A451" i="2"/>
  <c r="F450" i="2"/>
  <c r="E450" i="2"/>
  <c r="D450" i="2"/>
  <c r="C450" i="2"/>
  <c r="B450" i="2"/>
  <c r="A450" i="2"/>
  <c r="F449" i="2"/>
  <c r="E449" i="2"/>
  <c r="D449" i="2"/>
  <c r="C449" i="2"/>
  <c r="A449" i="2"/>
  <c r="F448" i="2"/>
  <c r="E448" i="2"/>
  <c r="D448" i="2"/>
  <c r="C448" i="2"/>
  <c r="A448" i="2"/>
  <c r="F447" i="2"/>
  <c r="E447" i="2"/>
  <c r="D447" i="2"/>
  <c r="C447" i="2"/>
  <c r="A447" i="2"/>
  <c r="F446" i="2"/>
  <c r="E446" i="2"/>
  <c r="D446" i="2"/>
  <c r="C446" i="2"/>
  <c r="A446" i="2"/>
  <c r="F445" i="2"/>
  <c r="E445" i="2"/>
  <c r="D445" i="2"/>
  <c r="C445" i="2"/>
  <c r="A445" i="2"/>
  <c r="F444" i="2"/>
  <c r="E444" i="2"/>
  <c r="D444" i="2"/>
  <c r="C444" i="2"/>
  <c r="A444" i="2"/>
  <c r="F443" i="2"/>
  <c r="E443" i="2"/>
  <c r="D443" i="2"/>
  <c r="C443" i="2"/>
  <c r="A443" i="2"/>
  <c r="F442" i="2"/>
  <c r="E442" i="2"/>
  <c r="D442" i="2"/>
  <c r="C442" i="2"/>
  <c r="B442" i="2"/>
  <c r="A442" i="2"/>
  <c r="F441" i="2"/>
  <c r="E441" i="2"/>
  <c r="D441" i="2"/>
  <c r="C441" i="2"/>
  <c r="B441" i="2"/>
  <c r="A441" i="2"/>
  <c r="F440" i="2"/>
  <c r="E440" i="2"/>
  <c r="D440" i="2"/>
  <c r="C440" i="2"/>
  <c r="A440" i="2"/>
  <c r="F439" i="2"/>
  <c r="E439" i="2"/>
  <c r="D439" i="2"/>
  <c r="C439" i="2"/>
  <c r="A439" i="2"/>
  <c r="F438" i="2"/>
  <c r="E438" i="2"/>
  <c r="D438" i="2"/>
  <c r="C438" i="2"/>
  <c r="B438" i="2"/>
  <c r="A438" i="2"/>
  <c r="F437" i="2"/>
  <c r="E437" i="2"/>
  <c r="D437" i="2"/>
  <c r="C437" i="2"/>
  <c r="B437" i="2"/>
  <c r="A437" i="2"/>
  <c r="F436" i="2"/>
  <c r="E436" i="2"/>
  <c r="D436" i="2"/>
  <c r="C436" i="2"/>
  <c r="A436" i="2"/>
  <c r="F435" i="2"/>
  <c r="E435" i="2"/>
  <c r="D435" i="2"/>
  <c r="C435" i="2"/>
  <c r="A435" i="2"/>
  <c r="F434" i="2"/>
  <c r="E434" i="2"/>
  <c r="D434" i="2"/>
  <c r="C434" i="2"/>
  <c r="A434" i="2"/>
  <c r="F433" i="2"/>
  <c r="E433" i="2"/>
  <c r="D433" i="2"/>
  <c r="C433" i="2"/>
  <c r="A433" i="2"/>
  <c r="F432" i="2"/>
  <c r="E432" i="2"/>
  <c r="D432" i="2"/>
  <c r="C432" i="2"/>
  <c r="A432" i="2"/>
  <c r="F431" i="2"/>
  <c r="E431" i="2"/>
  <c r="D431" i="2"/>
  <c r="C431" i="2"/>
  <c r="B431" i="2"/>
  <c r="A431" i="2"/>
  <c r="F430" i="2"/>
  <c r="E430" i="2"/>
  <c r="D430" i="2"/>
  <c r="C430" i="2"/>
  <c r="A430" i="2"/>
  <c r="F429" i="2"/>
  <c r="E429" i="2"/>
  <c r="D429" i="2"/>
  <c r="C429" i="2"/>
  <c r="A429" i="2"/>
  <c r="F428" i="2"/>
  <c r="E428" i="2"/>
  <c r="D428" i="2"/>
  <c r="C428" i="2"/>
  <c r="A428" i="2"/>
  <c r="F427" i="2"/>
  <c r="E427" i="2"/>
  <c r="D427" i="2"/>
  <c r="C427" i="2"/>
  <c r="A427" i="2"/>
  <c r="F426" i="2"/>
  <c r="E426" i="2"/>
  <c r="D426" i="2"/>
  <c r="C426" i="2"/>
  <c r="A426" i="2"/>
  <c r="F425" i="2"/>
  <c r="E425" i="2"/>
  <c r="D425" i="2"/>
  <c r="C425" i="2"/>
  <c r="A425" i="2"/>
  <c r="F424" i="2"/>
  <c r="E424" i="2"/>
  <c r="D424" i="2"/>
  <c r="C424" i="2"/>
  <c r="A424" i="2"/>
  <c r="F423" i="2"/>
  <c r="E423" i="2"/>
  <c r="D423" i="2"/>
  <c r="C423" i="2"/>
  <c r="A423" i="2"/>
  <c r="F422" i="2"/>
  <c r="E422" i="2"/>
  <c r="D422" i="2"/>
  <c r="C422" i="2"/>
  <c r="A422" i="2"/>
  <c r="F421" i="2"/>
  <c r="E421" i="2"/>
  <c r="D421" i="2"/>
  <c r="C421" i="2"/>
  <c r="A421" i="2"/>
  <c r="F420" i="2"/>
  <c r="E420" i="2"/>
  <c r="D420" i="2"/>
  <c r="C420" i="2"/>
  <c r="A420" i="2"/>
  <c r="F419" i="2"/>
  <c r="E419" i="2"/>
  <c r="D419" i="2"/>
  <c r="C419" i="2"/>
  <c r="A419" i="2"/>
  <c r="F418" i="2"/>
  <c r="E418" i="2"/>
  <c r="D418" i="2"/>
  <c r="C418" i="2"/>
  <c r="A418" i="2"/>
  <c r="F417" i="2"/>
  <c r="E417" i="2"/>
  <c r="D417" i="2"/>
  <c r="C417" i="2"/>
  <c r="B417" i="2"/>
  <c r="A417" i="2"/>
  <c r="F416" i="2"/>
  <c r="E416" i="2"/>
  <c r="D416" i="2"/>
  <c r="C416" i="2"/>
  <c r="A416" i="2"/>
  <c r="F415" i="2"/>
  <c r="E415" i="2"/>
  <c r="D415" i="2"/>
  <c r="C415" i="2"/>
  <c r="A415" i="2"/>
  <c r="F414" i="2"/>
  <c r="E414" i="2"/>
  <c r="D414" i="2"/>
  <c r="C414" i="2"/>
  <c r="A414" i="2"/>
  <c r="F413" i="2"/>
  <c r="E413" i="2"/>
  <c r="D413" i="2"/>
  <c r="C413" i="2"/>
  <c r="A413" i="2"/>
  <c r="F412" i="2"/>
  <c r="E412" i="2"/>
  <c r="D412" i="2"/>
  <c r="C412" i="2"/>
  <c r="A412" i="2"/>
  <c r="F411" i="2"/>
  <c r="E411" i="2"/>
  <c r="D411" i="2"/>
  <c r="C411" i="2"/>
  <c r="A411" i="2"/>
  <c r="F410" i="2"/>
  <c r="E410" i="2"/>
  <c r="D410" i="2"/>
  <c r="C410" i="2"/>
  <c r="A410" i="2"/>
  <c r="F409" i="2"/>
  <c r="E409" i="2"/>
  <c r="D409" i="2"/>
  <c r="C409" i="2"/>
  <c r="A409" i="2"/>
  <c r="F408" i="2"/>
  <c r="E408" i="2"/>
  <c r="D408" i="2"/>
  <c r="C408" i="2"/>
  <c r="A408" i="2"/>
  <c r="F407" i="2"/>
  <c r="E407" i="2"/>
  <c r="D407" i="2"/>
  <c r="C407" i="2"/>
  <c r="B407" i="2"/>
  <c r="A407" i="2"/>
  <c r="F406" i="2"/>
  <c r="E406" i="2"/>
  <c r="D406" i="2"/>
  <c r="C406" i="2"/>
  <c r="A406" i="2"/>
  <c r="F405" i="2"/>
  <c r="E405" i="2"/>
  <c r="D405" i="2"/>
  <c r="C405" i="2"/>
  <c r="A405" i="2"/>
  <c r="F404" i="2"/>
  <c r="E404" i="2"/>
  <c r="D404" i="2"/>
  <c r="C404" i="2"/>
  <c r="A404" i="2"/>
  <c r="F403" i="2"/>
  <c r="E403" i="2"/>
  <c r="D403" i="2"/>
  <c r="C403" i="2"/>
  <c r="A403" i="2"/>
  <c r="F402" i="2"/>
  <c r="E402" i="2"/>
  <c r="D402" i="2"/>
  <c r="C402" i="2"/>
  <c r="A402" i="2"/>
  <c r="F401" i="2"/>
  <c r="E401" i="2"/>
  <c r="D401" i="2"/>
  <c r="C401" i="2"/>
  <c r="A401" i="2"/>
  <c r="F400" i="2"/>
  <c r="E400" i="2"/>
  <c r="D400" i="2"/>
  <c r="C400" i="2"/>
  <c r="A400" i="2"/>
  <c r="F399" i="2"/>
  <c r="E399" i="2"/>
  <c r="D399" i="2"/>
  <c r="C399" i="2"/>
  <c r="B399" i="2"/>
  <c r="A399" i="2"/>
  <c r="F398" i="2"/>
  <c r="E398" i="2"/>
  <c r="D398" i="2"/>
  <c r="C398" i="2"/>
  <c r="A398" i="2"/>
  <c r="F397" i="2"/>
  <c r="E397" i="2"/>
  <c r="D397" i="2"/>
  <c r="C397" i="2"/>
  <c r="A397" i="2"/>
  <c r="F396" i="2"/>
  <c r="E396" i="2"/>
  <c r="D396" i="2"/>
  <c r="C396" i="2"/>
  <c r="A396" i="2"/>
  <c r="F395" i="2"/>
  <c r="E395" i="2"/>
  <c r="D395" i="2"/>
  <c r="C395" i="2"/>
  <c r="A395" i="2"/>
  <c r="F394" i="2"/>
  <c r="E394" i="2"/>
  <c r="D394" i="2"/>
  <c r="C394" i="2"/>
  <c r="B394" i="2"/>
  <c r="A394" i="2"/>
  <c r="F393" i="2"/>
  <c r="E393" i="2"/>
  <c r="D393" i="2"/>
  <c r="C393" i="2"/>
  <c r="B393" i="2"/>
  <c r="A393" i="2"/>
  <c r="F392" i="2"/>
  <c r="E392" i="2"/>
  <c r="D392" i="2"/>
  <c r="C392" i="2"/>
  <c r="A392" i="2"/>
  <c r="F391" i="2"/>
  <c r="E391" i="2"/>
  <c r="D391" i="2"/>
  <c r="C391" i="2"/>
  <c r="A391" i="2"/>
  <c r="F390" i="2"/>
  <c r="E390" i="2"/>
  <c r="D390" i="2"/>
  <c r="C390" i="2"/>
  <c r="A390" i="2"/>
  <c r="F389" i="2"/>
  <c r="E389" i="2"/>
  <c r="D389" i="2"/>
  <c r="C389" i="2"/>
  <c r="B389" i="2"/>
  <c r="A389" i="2"/>
  <c r="F388" i="2"/>
  <c r="E388" i="2"/>
  <c r="D388" i="2"/>
  <c r="C388" i="2"/>
  <c r="A388" i="2"/>
  <c r="F387" i="2"/>
  <c r="E387" i="2"/>
  <c r="D387" i="2"/>
  <c r="C387" i="2"/>
  <c r="A387" i="2"/>
  <c r="F386" i="2"/>
  <c r="E386" i="2"/>
  <c r="D386" i="2"/>
  <c r="C386" i="2"/>
  <c r="A386" i="2"/>
  <c r="F385" i="2"/>
  <c r="E385" i="2"/>
  <c r="D385" i="2"/>
  <c r="C385" i="2"/>
  <c r="A385" i="2"/>
  <c r="F384" i="2"/>
  <c r="E384" i="2"/>
  <c r="D384" i="2"/>
  <c r="C384" i="2"/>
  <c r="A384" i="2"/>
  <c r="F383" i="2"/>
  <c r="E383" i="2"/>
  <c r="D383" i="2"/>
  <c r="C383" i="2"/>
  <c r="B383" i="2"/>
  <c r="A383" i="2"/>
  <c r="F382" i="2"/>
  <c r="E382" i="2"/>
  <c r="D382" i="2"/>
  <c r="C382" i="2"/>
  <c r="B382" i="2"/>
  <c r="A382" i="2"/>
  <c r="F381" i="2"/>
  <c r="E381" i="2"/>
  <c r="D381" i="2"/>
  <c r="C381" i="2"/>
  <c r="B381" i="2"/>
  <c r="A381" i="2"/>
  <c r="F380" i="2"/>
  <c r="E380" i="2"/>
  <c r="D380" i="2"/>
  <c r="C380" i="2"/>
  <c r="A380" i="2"/>
  <c r="F379" i="2"/>
  <c r="E379" i="2"/>
  <c r="D379" i="2"/>
  <c r="C379" i="2"/>
  <c r="B379" i="2"/>
  <c r="A379" i="2"/>
  <c r="F378" i="2"/>
  <c r="E378" i="2"/>
  <c r="D378" i="2"/>
  <c r="C378" i="2"/>
  <c r="B378" i="2"/>
  <c r="A378" i="2"/>
  <c r="F377" i="2"/>
  <c r="E377" i="2"/>
  <c r="D377" i="2"/>
  <c r="C377" i="2"/>
  <c r="A377" i="2"/>
  <c r="F376" i="2"/>
  <c r="E376" i="2"/>
  <c r="D376" i="2"/>
  <c r="C376" i="2"/>
  <c r="A376" i="2"/>
  <c r="F375" i="2"/>
  <c r="E375" i="2"/>
  <c r="D375" i="2"/>
  <c r="C375" i="2"/>
  <c r="A375" i="2"/>
  <c r="F374" i="2"/>
  <c r="E374" i="2"/>
  <c r="D374" i="2"/>
  <c r="C374" i="2"/>
  <c r="A374" i="2"/>
  <c r="F373" i="2"/>
  <c r="E373" i="2"/>
  <c r="D373" i="2"/>
  <c r="C373" i="2"/>
  <c r="A373" i="2"/>
  <c r="F372" i="2"/>
  <c r="E372" i="2"/>
  <c r="D372" i="2"/>
  <c r="C372" i="2"/>
  <c r="A372" i="2"/>
  <c r="F371" i="2"/>
  <c r="E371" i="2"/>
  <c r="D371" i="2"/>
  <c r="C371" i="2"/>
  <c r="A371" i="2"/>
  <c r="F370" i="2"/>
  <c r="E370" i="2"/>
  <c r="D370" i="2"/>
  <c r="C370" i="2"/>
  <c r="B370" i="2"/>
  <c r="A370" i="2"/>
  <c r="F369" i="2"/>
  <c r="E369" i="2"/>
  <c r="D369" i="2"/>
  <c r="C369" i="2"/>
  <c r="A369" i="2"/>
  <c r="F368" i="2"/>
  <c r="E368" i="2"/>
  <c r="D368" i="2"/>
  <c r="C368" i="2"/>
  <c r="A368" i="2"/>
  <c r="F367" i="2"/>
  <c r="E367" i="2"/>
  <c r="D367" i="2"/>
  <c r="C367" i="2"/>
  <c r="A367" i="2"/>
  <c r="F366" i="2"/>
  <c r="E366" i="2"/>
  <c r="D366" i="2"/>
  <c r="C366" i="2"/>
  <c r="A366" i="2"/>
  <c r="F365" i="2"/>
  <c r="E365" i="2"/>
  <c r="D365" i="2"/>
  <c r="C365" i="2"/>
  <c r="A365" i="2"/>
  <c r="F364" i="2"/>
  <c r="E364" i="2"/>
  <c r="D364" i="2"/>
  <c r="C364" i="2"/>
  <c r="A364" i="2"/>
  <c r="F363" i="2"/>
  <c r="E363" i="2"/>
  <c r="D363" i="2"/>
  <c r="C363" i="2"/>
  <c r="B363" i="2"/>
  <c r="A363" i="2"/>
  <c r="F362" i="2"/>
  <c r="E362" i="2"/>
  <c r="D362" i="2"/>
  <c r="C362" i="2"/>
  <c r="A362" i="2"/>
  <c r="F361" i="2"/>
  <c r="E361" i="2"/>
  <c r="D361" i="2"/>
  <c r="C361" i="2"/>
  <c r="A361" i="2"/>
  <c r="F360" i="2"/>
  <c r="E360" i="2"/>
  <c r="D360" i="2"/>
  <c r="C360" i="2"/>
  <c r="A360" i="2"/>
  <c r="F359" i="2"/>
  <c r="E359" i="2"/>
  <c r="D359" i="2"/>
  <c r="C359" i="2"/>
  <c r="A359" i="2"/>
  <c r="F358" i="2"/>
  <c r="E358" i="2"/>
  <c r="D358" i="2"/>
  <c r="C358" i="2"/>
  <c r="A358" i="2"/>
  <c r="F357" i="2"/>
  <c r="E357" i="2"/>
  <c r="D357" i="2"/>
  <c r="C357" i="2"/>
  <c r="B357" i="2"/>
  <c r="A357" i="2"/>
  <c r="F356" i="2"/>
  <c r="E356" i="2"/>
  <c r="D356" i="2"/>
  <c r="C356" i="2"/>
  <c r="A356" i="2"/>
  <c r="F355" i="2"/>
  <c r="E355" i="2"/>
  <c r="D355" i="2"/>
  <c r="C355" i="2"/>
  <c r="A355" i="2"/>
  <c r="F354" i="2"/>
  <c r="E354" i="2"/>
  <c r="D354" i="2"/>
  <c r="C354" i="2"/>
  <c r="A354" i="2"/>
  <c r="F353" i="2"/>
  <c r="E353" i="2"/>
  <c r="D353" i="2"/>
  <c r="C353" i="2"/>
  <c r="B353" i="2"/>
  <c r="A353" i="2"/>
  <c r="F352" i="2"/>
  <c r="E352" i="2"/>
  <c r="D352" i="2"/>
  <c r="C352" i="2"/>
  <c r="A352" i="2"/>
  <c r="F351" i="2"/>
  <c r="E351" i="2"/>
  <c r="D351" i="2"/>
  <c r="C351" i="2"/>
  <c r="A351" i="2"/>
  <c r="F350" i="2"/>
  <c r="E350" i="2"/>
  <c r="D350" i="2"/>
  <c r="C350" i="2"/>
  <c r="A350" i="2"/>
  <c r="F349" i="2"/>
  <c r="E349" i="2"/>
  <c r="D349" i="2"/>
  <c r="C349" i="2"/>
  <c r="A349" i="2"/>
  <c r="F348" i="2"/>
  <c r="E348" i="2"/>
  <c r="D348" i="2"/>
  <c r="C348" i="2"/>
  <c r="A348" i="2"/>
  <c r="F347" i="2"/>
  <c r="E347" i="2"/>
  <c r="D347" i="2"/>
  <c r="C347" i="2"/>
  <c r="A347" i="2"/>
  <c r="F346" i="2"/>
  <c r="E346" i="2"/>
  <c r="D346" i="2"/>
  <c r="C346" i="2"/>
  <c r="A346" i="2"/>
  <c r="F345" i="2"/>
  <c r="E345" i="2"/>
  <c r="D345" i="2"/>
  <c r="C345" i="2"/>
  <c r="B345" i="2"/>
  <c r="A345" i="2"/>
  <c r="F344" i="2"/>
  <c r="E344" i="2"/>
  <c r="D344" i="2"/>
  <c r="C344" i="2"/>
  <c r="A344" i="2"/>
  <c r="F343" i="2"/>
  <c r="E343" i="2"/>
  <c r="D343" i="2"/>
  <c r="C343" i="2"/>
  <c r="A343" i="2"/>
  <c r="F342" i="2"/>
  <c r="E342" i="2"/>
  <c r="D342" i="2"/>
  <c r="C342" i="2"/>
  <c r="A342" i="2"/>
  <c r="F341" i="2"/>
  <c r="E341" i="2"/>
  <c r="D341" i="2"/>
  <c r="C341" i="2"/>
  <c r="A341" i="2"/>
  <c r="F340" i="2"/>
  <c r="E340" i="2"/>
  <c r="D340" i="2"/>
  <c r="C340" i="2"/>
  <c r="A340" i="2"/>
  <c r="F339" i="2"/>
  <c r="E339" i="2"/>
  <c r="D339" i="2"/>
  <c r="C339" i="2"/>
  <c r="A339" i="2"/>
  <c r="F338" i="2"/>
  <c r="E338" i="2"/>
  <c r="D338" i="2"/>
  <c r="C338" i="2"/>
  <c r="B338" i="2"/>
  <c r="A338" i="2"/>
  <c r="F337" i="2"/>
  <c r="E337" i="2"/>
  <c r="D337" i="2"/>
  <c r="C337" i="2"/>
  <c r="B337" i="2"/>
  <c r="A337" i="2"/>
  <c r="F336" i="2"/>
  <c r="E336" i="2"/>
  <c r="D336" i="2"/>
  <c r="C336" i="2"/>
  <c r="B336" i="2"/>
  <c r="A336" i="2"/>
  <c r="F335" i="2"/>
  <c r="E335" i="2"/>
  <c r="D335" i="2"/>
  <c r="C335" i="2"/>
  <c r="A335" i="2"/>
  <c r="F334" i="2"/>
  <c r="E334" i="2"/>
  <c r="D334" i="2"/>
  <c r="C334" i="2"/>
  <c r="B334" i="2"/>
  <c r="A334" i="2"/>
  <c r="F333" i="2"/>
  <c r="E333" i="2"/>
  <c r="D333" i="2"/>
  <c r="C333" i="2"/>
  <c r="A333" i="2"/>
  <c r="F332" i="2"/>
  <c r="E332" i="2"/>
  <c r="D332" i="2"/>
  <c r="C332" i="2"/>
  <c r="A332" i="2"/>
  <c r="F331" i="2"/>
  <c r="E331" i="2"/>
  <c r="D331" i="2"/>
  <c r="C331" i="2"/>
  <c r="A331" i="2"/>
  <c r="F330" i="2"/>
  <c r="E330" i="2"/>
  <c r="D330" i="2"/>
  <c r="C330" i="2"/>
  <c r="A330" i="2"/>
  <c r="F329" i="2"/>
  <c r="E329" i="2"/>
  <c r="D329" i="2"/>
  <c r="C329" i="2"/>
  <c r="A329" i="2"/>
  <c r="F328" i="2"/>
  <c r="E328" i="2"/>
  <c r="D328" i="2"/>
  <c r="C328" i="2"/>
  <c r="A328" i="2"/>
  <c r="F327" i="2"/>
  <c r="E327" i="2"/>
  <c r="D327" i="2"/>
  <c r="C327" i="2"/>
  <c r="A327" i="2"/>
  <c r="F326" i="2"/>
  <c r="E326" i="2"/>
  <c r="D326" i="2"/>
  <c r="C326" i="2"/>
  <c r="B326" i="2"/>
  <c r="A326" i="2"/>
  <c r="F325" i="2"/>
  <c r="E325" i="2"/>
  <c r="D325" i="2"/>
  <c r="C325" i="2"/>
  <c r="A325" i="2"/>
  <c r="F324" i="2"/>
  <c r="E324" i="2"/>
  <c r="D324" i="2"/>
  <c r="C324" i="2"/>
  <c r="A324" i="2"/>
  <c r="F323" i="2"/>
  <c r="E323" i="2"/>
  <c r="D323" i="2"/>
  <c r="C323" i="2"/>
  <c r="A323" i="2"/>
  <c r="F322" i="2"/>
  <c r="E322" i="2"/>
  <c r="D322" i="2"/>
  <c r="C322" i="2"/>
  <c r="A322" i="2"/>
  <c r="F321" i="2"/>
  <c r="E321" i="2"/>
  <c r="D321" i="2"/>
  <c r="C321" i="2"/>
  <c r="A321" i="2"/>
  <c r="F320" i="2"/>
  <c r="E320" i="2"/>
  <c r="D320" i="2"/>
  <c r="C320" i="2"/>
  <c r="B320" i="2"/>
  <c r="A320" i="2"/>
  <c r="F319" i="2"/>
  <c r="E319" i="2"/>
  <c r="D319" i="2"/>
  <c r="C319" i="2"/>
  <c r="A319" i="2"/>
  <c r="F318" i="2"/>
  <c r="E318" i="2"/>
  <c r="D318" i="2"/>
  <c r="C318" i="2"/>
  <c r="A318" i="2"/>
  <c r="F317" i="2"/>
  <c r="E317" i="2"/>
  <c r="D317" i="2"/>
  <c r="C317" i="2"/>
  <c r="A317" i="2"/>
  <c r="F316" i="2"/>
  <c r="E316" i="2"/>
  <c r="D316" i="2"/>
  <c r="C316" i="2"/>
  <c r="B316" i="2"/>
  <c r="A316" i="2"/>
  <c r="F315" i="2"/>
  <c r="E315" i="2"/>
  <c r="D315" i="2"/>
  <c r="C315" i="2"/>
  <c r="A315" i="2"/>
  <c r="F314" i="2"/>
  <c r="E314" i="2"/>
  <c r="D314" i="2"/>
  <c r="C314" i="2"/>
  <c r="A314" i="2"/>
  <c r="F313" i="2"/>
  <c r="E313" i="2"/>
  <c r="D313" i="2"/>
  <c r="C313" i="2"/>
  <c r="A313" i="2"/>
  <c r="F312" i="2"/>
  <c r="E312" i="2"/>
  <c r="D312" i="2"/>
  <c r="C312" i="2"/>
  <c r="A312" i="2"/>
  <c r="F311" i="2"/>
  <c r="E311" i="2"/>
  <c r="D311" i="2"/>
  <c r="C311" i="2"/>
  <c r="A311" i="2"/>
  <c r="F310" i="2"/>
  <c r="E310" i="2"/>
  <c r="D310" i="2"/>
  <c r="C310" i="2"/>
  <c r="A310" i="2"/>
  <c r="F309" i="2"/>
  <c r="E309" i="2"/>
  <c r="D309" i="2"/>
  <c r="C309" i="2"/>
  <c r="A309" i="2"/>
  <c r="F308" i="2"/>
  <c r="E308" i="2"/>
  <c r="D308" i="2"/>
  <c r="C308" i="2"/>
  <c r="A308" i="2"/>
  <c r="F307" i="2"/>
  <c r="E307" i="2"/>
  <c r="D307" i="2"/>
  <c r="C307" i="2"/>
  <c r="A307" i="2"/>
  <c r="F306" i="2"/>
  <c r="E306" i="2"/>
  <c r="D306" i="2"/>
  <c r="C306" i="2"/>
  <c r="A306" i="2"/>
  <c r="F305" i="2"/>
  <c r="E305" i="2"/>
  <c r="D305" i="2"/>
  <c r="C305" i="2"/>
  <c r="A305" i="2"/>
  <c r="F304" i="2"/>
  <c r="E304" i="2"/>
  <c r="D304" i="2"/>
  <c r="C304" i="2"/>
  <c r="A304" i="2"/>
  <c r="F303" i="2"/>
  <c r="E303" i="2"/>
  <c r="D303" i="2"/>
  <c r="C303" i="2"/>
  <c r="A303" i="2"/>
  <c r="F302" i="2"/>
  <c r="E302" i="2"/>
  <c r="D302" i="2"/>
  <c r="C302" i="2"/>
  <c r="A302" i="2"/>
  <c r="F301" i="2"/>
  <c r="E301" i="2"/>
  <c r="D301" i="2"/>
  <c r="C301" i="2"/>
  <c r="A301" i="2"/>
  <c r="F300" i="2"/>
  <c r="E300" i="2"/>
  <c r="D300" i="2"/>
  <c r="C300" i="2"/>
  <c r="A300" i="2"/>
  <c r="F299" i="2"/>
  <c r="E299" i="2"/>
  <c r="D299" i="2"/>
  <c r="C299" i="2"/>
  <c r="A299" i="2"/>
  <c r="F298" i="2"/>
  <c r="E298" i="2"/>
  <c r="D298" i="2"/>
  <c r="C298" i="2"/>
  <c r="A298" i="2"/>
  <c r="F297" i="2"/>
  <c r="E297" i="2"/>
  <c r="D297" i="2"/>
  <c r="C297" i="2"/>
  <c r="B297" i="2"/>
  <c r="A297" i="2"/>
  <c r="F296" i="2"/>
  <c r="E296" i="2"/>
  <c r="D296" i="2"/>
  <c r="C296" i="2"/>
  <c r="A296" i="2"/>
  <c r="F295" i="2"/>
  <c r="E295" i="2"/>
  <c r="D295" i="2"/>
  <c r="C295" i="2"/>
  <c r="A295" i="2"/>
  <c r="F294" i="2"/>
  <c r="E294" i="2"/>
  <c r="D294" i="2"/>
  <c r="C294" i="2"/>
  <c r="A294" i="2"/>
  <c r="F293" i="2"/>
  <c r="E293" i="2"/>
  <c r="D293" i="2"/>
  <c r="C293" i="2"/>
  <c r="A293" i="2"/>
  <c r="F292" i="2"/>
  <c r="E292" i="2"/>
  <c r="D292" i="2"/>
  <c r="C292" i="2"/>
  <c r="B292" i="2"/>
  <c r="A292" i="2"/>
  <c r="F291" i="2"/>
  <c r="E291" i="2"/>
  <c r="D291" i="2"/>
  <c r="C291" i="2"/>
  <c r="B291" i="2"/>
  <c r="A291" i="2"/>
  <c r="F290" i="2"/>
  <c r="E290" i="2"/>
  <c r="D290" i="2"/>
  <c r="C290" i="2"/>
  <c r="B290" i="2"/>
  <c r="A290" i="2"/>
  <c r="F289" i="2"/>
  <c r="E289" i="2"/>
  <c r="D289" i="2"/>
  <c r="C289" i="2"/>
  <c r="A289" i="2"/>
  <c r="F288" i="2"/>
  <c r="E288" i="2"/>
  <c r="D288" i="2"/>
  <c r="C288" i="2"/>
  <c r="A288" i="2"/>
  <c r="F287" i="2"/>
  <c r="E287" i="2"/>
  <c r="D287" i="2"/>
  <c r="C287" i="2"/>
  <c r="A287" i="2"/>
  <c r="F286" i="2"/>
  <c r="E286" i="2"/>
  <c r="D286" i="2"/>
  <c r="C286" i="2"/>
  <c r="B286" i="2"/>
  <c r="A286" i="2"/>
  <c r="F285" i="2"/>
  <c r="E285" i="2"/>
  <c r="D285" i="2"/>
  <c r="C285" i="2"/>
  <c r="A285" i="2"/>
  <c r="F284" i="2"/>
  <c r="E284" i="2"/>
  <c r="D284" i="2"/>
  <c r="C284" i="2"/>
  <c r="B284" i="2"/>
  <c r="A284" i="2"/>
  <c r="F283" i="2"/>
  <c r="E283" i="2"/>
  <c r="D283" i="2"/>
  <c r="C283" i="2"/>
  <c r="A283" i="2"/>
  <c r="F282" i="2"/>
  <c r="E282" i="2"/>
  <c r="D282" i="2"/>
  <c r="C282" i="2"/>
  <c r="A282" i="2"/>
  <c r="F281" i="2"/>
  <c r="E281" i="2"/>
  <c r="D281" i="2"/>
  <c r="C281" i="2"/>
  <c r="A281" i="2"/>
  <c r="F280" i="2"/>
  <c r="E280" i="2"/>
  <c r="D280" i="2"/>
  <c r="C280" i="2"/>
  <c r="A280" i="2"/>
  <c r="F279" i="2"/>
  <c r="E279" i="2"/>
  <c r="D279" i="2"/>
  <c r="C279" i="2"/>
  <c r="A279" i="2"/>
  <c r="F278" i="2"/>
  <c r="E278" i="2"/>
  <c r="D278" i="2"/>
  <c r="C278" i="2"/>
  <c r="A278" i="2"/>
  <c r="F277" i="2"/>
  <c r="E277" i="2"/>
  <c r="D277" i="2"/>
  <c r="C277" i="2"/>
  <c r="A277" i="2"/>
  <c r="F276" i="2"/>
  <c r="E276" i="2"/>
  <c r="D276" i="2"/>
  <c r="C276" i="2"/>
  <c r="B276" i="2"/>
  <c r="A276" i="2"/>
  <c r="F275" i="2"/>
  <c r="E275" i="2"/>
  <c r="D275" i="2"/>
  <c r="C275" i="2"/>
  <c r="A275" i="2"/>
  <c r="F274" i="2"/>
  <c r="E274" i="2"/>
  <c r="D274" i="2"/>
  <c r="C274" i="2"/>
  <c r="A274" i="2"/>
  <c r="F273" i="2"/>
  <c r="E273" i="2"/>
  <c r="D273" i="2"/>
  <c r="C273" i="2"/>
  <c r="A273" i="2"/>
  <c r="F272" i="2"/>
  <c r="E272" i="2"/>
  <c r="D272" i="2"/>
  <c r="C272" i="2"/>
  <c r="A272" i="2"/>
  <c r="F271" i="2"/>
  <c r="E271" i="2"/>
  <c r="D271" i="2"/>
  <c r="C271" i="2"/>
  <c r="A271" i="2"/>
  <c r="F270" i="2"/>
  <c r="E270" i="2"/>
  <c r="D270" i="2"/>
  <c r="C270" i="2"/>
  <c r="A270" i="2"/>
  <c r="F269" i="2"/>
  <c r="E269" i="2"/>
  <c r="D269" i="2"/>
  <c r="C269" i="2"/>
  <c r="A269" i="2"/>
  <c r="F268" i="2"/>
  <c r="E268" i="2"/>
  <c r="D268" i="2"/>
  <c r="C268" i="2"/>
  <c r="A268" i="2"/>
  <c r="F267" i="2"/>
  <c r="E267" i="2"/>
  <c r="D267" i="2"/>
  <c r="C267" i="2"/>
  <c r="A267" i="2"/>
  <c r="F266" i="2"/>
  <c r="E266" i="2"/>
  <c r="D266" i="2"/>
  <c r="C266" i="2"/>
  <c r="A266" i="2"/>
  <c r="F265" i="2"/>
  <c r="E265" i="2"/>
  <c r="D265" i="2"/>
  <c r="C265" i="2"/>
  <c r="A265" i="2"/>
  <c r="F264" i="2"/>
  <c r="E264" i="2"/>
  <c r="D264" i="2"/>
  <c r="C264" i="2"/>
  <c r="A264" i="2"/>
  <c r="F263" i="2"/>
  <c r="E263" i="2"/>
  <c r="D263" i="2"/>
  <c r="C263" i="2"/>
  <c r="B263" i="2"/>
  <c r="A263" i="2"/>
  <c r="F262" i="2"/>
  <c r="E262" i="2"/>
  <c r="D262" i="2"/>
  <c r="C262" i="2"/>
  <c r="A262" i="2"/>
  <c r="F261" i="2"/>
  <c r="E261" i="2"/>
  <c r="D261" i="2"/>
  <c r="C261" i="2"/>
  <c r="A261" i="2"/>
  <c r="F260" i="2"/>
  <c r="E260" i="2"/>
  <c r="D260" i="2"/>
  <c r="C260" i="2"/>
  <c r="A260" i="2"/>
  <c r="F259" i="2"/>
  <c r="E259" i="2"/>
  <c r="D259" i="2"/>
  <c r="C259" i="2"/>
  <c r="A259" i="2"/>
  <c r="F258" i="2"/>
  <c r="E258" i="2"/>
  <c r="D258" i="2"/>
  <c r="C258" i="2"/>
  <c r="A258" i="2"/>
  <c r="F257" i="2"/>
  <c r="E257" i="2"/>
  <c r="D257" i="2"/>
  <c r="C257" i="2"/>
  <c r="A257" i="2"/>
  <c r="F256" i="2"/>
  <c r="E256" i="2"/>
  <c r="D256" i="2"/>
  <c r="C256" i="2"/>
  <c r="A256" i="2"/>
  <c r="F255" i="2"/>
  <c r="E255" i="2"/>
  <c r="D255" i="2"/>
  <c r="C255" i="2"/>
  <c r="A255" i="2"/>
  <c r="F254" i="2"/>
  <c r="E254" i="2"/>
  <c r="D254" i="2"/>
  <c r="C254" i="2"/>
  <c r="A254" i="2"/>
  <c r="F253" i="2"/>
  <c r="E253" i="2"/>
  <c r="D253" i="2"/>
  <c r="C253" i="2"/>
  <c r="A253" i="2"/>
  <c r="F252" i="2"/>
  <c r="E252" i="2"/>
  <c r="D252" i="2"/>
  <c r="C252" i="2"/>
  <c r="A252" i="2"/>
  <c r="F251" i="2"/>
  <c r="E251" i="2"/>
  <c r="D251" i="2"/>
  <c r="C251" i="2"/>
  <c r="A251" i="2"/>
  <c r="F250" i="2"/>
  <c r="E250" i="2"/>
  <c r="D250" i="2"/>
  <c r="C250" i="2"/>
  <c r="A250" i="2"/>
  <c r="F249" i="2"/>
  <c r="E249" i="2"/>
  <c r="D249" i="2"/>
  <c r="C249" i="2"/>
  <c r="B249" i="2"/>
  <c r="A249" i="2"/>
  <c r="F248" i="2"/>
  <c r="E248" i="2"/>
  <c r="D248" i="2"/>
  <c r="C248" i="2"/>
  <c r="A248" i="2"/>
  <c r="F247" i="2"/>
  <c r="E247" i="2"/>
  <c r="D247" i="2"/>
  <c r="C247" i="2"/>
  <c r="A247" i="2"/>
  <c r="F246" i="2"/>
  <c r="E246" i="2"/>
  <c r="D246" i="2"/>
  <c r="C246" i="2"/>
  <c r="B246" i="2"/>
  <c r="A246" i="2"/>
  <c r="F245" i="2"/>
  <c r="E245" i="2"/>
  <c r="D245" i="2"/>
  <c r="C245" i="2"/>
  <c r="A245" i="2"/>
  <c r="F244" i="2"/>
  <c r="E244" i="2"/>
  <c r="D244" i="2"/>
  <c r="C244" i="2"/>
  <c r="A244" i="2"/>
  <c r="F243" i="2"/>
  <c r="E243" i="2"/>
  <c r="D243" i="2"/>
  <c r="C243" i="2"/>
  <c r="A243" i="2"/>
  <c r="F242" i="2"/>
  <c r="E242" i="2"/>
  <c r="D242" i="2"/>
  <c r="C242" i="2"/>
  <c r="A242" i="2"/>
  <c r="F241" i="2"/>
  <c r="E241" i="2"/>
  <c r="D241" i="2"/>
  <c r="C241" i="2"/>
  <c r="A241" i="2"/>
  <c r="F240" i="2"/>
  <c r="E240" i="2"/>
  <c r="D240" i="2"/>
  <c r="C240" i="2"/>
  <c r="A240" i="2"/>
  <c r="F239" i="2"/>
  <c r="E239" i="2"/>
  <c r="D239" i="2"/>
  <c r="C239" i="2"/>
  <c r="A239" i="2"/>
  <c r="F238" i="2"/>
  <c r="E238" i="2"/>
  <c r="D238" i="2"/>
  <c r="C238" i="2"/>
  <c r="B238" i="2"/>
  <c r="A238" i="2"/>
  <c r="F237" i="2"/>
  <c r="E237" i="2"/>
  <c r="D237" i="2"/>
  <c r="C237" i="2"/>
  <c r="A237" i="2"/>
  <c r="F236" i="2"/>
  <c r="E236" i="2"/>
  <c r="D236" i="2"/>
  <c r="C236" i="2"/>
  <c r="A236" i="2"/>
  <c r="F235" i="2"/>
  <c r="E235" i="2"/>
  <c r="D235" i="2"/>
  <c r="C235" i="2"/>
  <c r="A235" i="2"/>
  <c r="F234" i="2"/>
  <c r="E234" i="2"/>
  <c r="D234" i="2"/>
  <c r="C234" i="2"/>
  <c r="A234" i="2"/>
  <c r="F233" i="2"/>
  <c r="E233" i="2"/>
  <c r="D233" i="2"/>
  <c r="C233" i="2"/>
  <c r="A233" i="2"/>
  <c r="F232" i="2"/>
  <c r="E232" i="2"/>
  <c r="D232" i="2"/>
  <c r="C232" i="2"/>
  <c r="B232" i="2"/>
  <c r="A232" i="2"/>
  <c r="F231" i="2"/>
  <c r="E231" i="2"/>
  <c r="D231" i="2"/>
  <c r="C231" i="2"/>
  <c r="A231" i="2"/>
  <c r="F230" i="2"/>
  <c r="E230" i="2"/>
  <c r="D230" i="2"/>
  <c r="C230" i="2"/>
  <c r="A230" i="2"/>
  <c r="F229" i="2"/>
  <c r="E229" i="2"/>
  <c r="D229" i="2"/>
  <c r="C229" i="2"/>
  <c r="B229" i="2"/>
  <c r="A229" i="2"/>
  <c r="F228" i="2"/>
  <c r="E228" i="2"/>
  <c r="D228" i="2"/>
  <c r="C228" i="2"/>
  <c r="A228" i="2"/>
  <c r="F227" i="2"/>
  <c r="E227" i="2"/>
  <c r="D227" i="2"/>
  <c r="C227" i="2"/>
  <c r="A227" i="2"/>
  <c r="F226" i="2"/>
  <c r="E226" i="2"/>
  <c r="D226" i="2"/>
  <c r="C226" i="2"/>
  <c r="A226" i="2"/>
  <c r="F225" i="2"/>
  <c r="E225" i="2"/>
  <c r="D225" i="2"/>
  <c r="C225" i="2"/>
  <c r="A225" i="2"/>
  <c r="F224" i="2"/>
  <c r="E224" i="2"/>
  <c r="D224" i="2"/>
  <c r="C224" i="2"/>
  <c r="A224" i="2"/>
  <c r="F223" i="2"/>
  <c r="E223" i="2"/>
  <c r="D223" i="2"/>
  <c r="C223" i="2"/>
  <c r="A223" i="2"/>
  <c r="F222" i="2"/>
  <c r="E222" i="2"/>
  <c r="D222" i="2"/>
  <c r="C222" i="2"/>
  <c r="A222" i="2"/>
  <c r="F221" i="2"/>
  <c r="E221" i="2"/>
  <c r="D221" i="2"/>
  <c r="C221" i="2"/>
  <c r="A221" i="2"/>
  <c r="F220" i="2"/>
  <c r="E220" i="2"/>
  <c r="D220" i="2"/>
  <c r="C220" i="2"/>
  <c r="A220" i="2"/>
  <c r="F219" i="2"/>
  <c r="E219" i="2"/>
  <c r="D219" i="2"/>
  <c r="C219" i="2"/>
  <c r="A219" i="2"/>
  <c r="F218" i="2"/>
  <c r="E218" i="2"/>
  <c r="D218" i="2"/>
  <c r="C218" i="2"/>
  <c r="A218" i="2"/>
  <c r="F217" i="2"/>
  <c r="E217" i="2"/>
  <c r="D217" i="2"/>
  <c r="C217" i="2"/>
  <c r="A217" i="2"/>
  <c r="F216" i="2"/>
  <c r="E216" i="2"/>
  <c r="D216" i="2"/>
  <c r="C216" i="2"/>
  <c r="A216" i="2"/>
  <c r="F215" i="2"/>
  <c r="E215" i="2"/>
  <c r="D215" i="2"/>
  <c r="C215" i="2"/>
  <c r="A215" i="2"/>
  <c r="F214" i="2"/>
  <c r="E214" i="2"/>
  <c r="D214" i="2"/>
  <c r="C214" i="2"/>
  <c r="A214" i="2"/>
  <c r="F213" i="2"/>
  <c r="E213" i="2"/>
  <c r="D213" i="2"/>
  <c r="C213" i="2"/>
  <c r="B213" i="2"/>
  <c r="A213" i="2"/>
  <c r="F212" i="2"/>
  <c r="E212" i="2"/>
  <c r="D212" i="2"/>
  <c r="C212" i="2"/>
  <c r="B212" i="2"/>
  <c r="A212" i="2"/>
  <c r="F211" i="2"/>
  <c r="E211" i="2"/>
  <c r="D211" i="2"/>
  <c r="C211" i="2"/>
  <c r="A211" i="2"/>
  <c r="F210" i="2"/>
  <c r="E210" i="2"/>
  <c r="D210" i="2"/>
  <c r="C210" i="2"/>
  <c r="A210" i="2"/>
  <c r="F209" i="2"/>
  <c r="E209" i="2"/>
  <c r="D209" i="2"/>
  <c r="C209" i="2"/>
  <c r="A209" i="2"/>
  <c r="F208" i="2"/>
  <c r="E208" i="2"/>
  <c r="D208" i="2"/>
  <c r="C208" i="2"/>
  <c r="A208" i="2"/>
  <c r="F207" i="2"/>
  <c r="E207" i="2"/>
  <c r="D207" i="2"/>
  <c r="C207" i="2"/>
  <c r="A207" i="2"/>
  <c r="F206" i="2"/>
  <c r="E206" i="2"/>
  <c r="D206" i="2"/>
  <c r="C206" i="2"/>
  <c r="A206" i="2"/>
  <c r="F205" i="2"/>
  <c r="E205" i="2"/>
  <c r="D205" i="2"/>
  <c r="C205" i="2"/>
  <c r="A205" i="2"/>
  <c r="F204" i="2"/>
  <c r="E204" i="2"/>
  <c r="D204" i="2"/>
  <c r="C204" i="2"/>
  <c r="A204" i="2"/>
  <c r="F203" i="2"/>
  <c r="E203" i="2"/>
  <c r="D203" i="2"/>
  <c r="C203" i="2"/>
  <c r="A203" i="2"/>
  <c r="F202" i="2"/>
  <c r="E202" i="2"/>
  <c r="D202" i="2"/>
  <c r="C202" i="2"/>
  <c r="A202" i="2"/>
  <c r="F201" i="2"/>
  <c r="E201" i="2"/>
  <c r="D201" i="2"/>
  <c r="C201" i="2"/>
  <c r="A201" i="2"/>
  <c r="F200" i="2"/>
  <c r="E200" i="2"/>
  <c r="D200" i="2"/>
  <c r="C200" i="2"/>
  <c r="A200" i="2"/>
  <c r="F199" i="2"/>
  <c r="E199" i="2"/>
  <c r="D199" i="2"/>
  <c r="C199" i="2"/>
  <c r="A199" i="2"/>
  <c r="F198" i="2"/>
  <c r="E198" i="2"/>
  <c r="D198" i="2"/>
  <c r="C198" i="2"/>
  <c r="A198" i="2"/>
  <c r="F197" i="2"/>
  <c r="E197" i="2"/>
  <c r="D197" i="2"/>
  <c r="C197" i="2"/>
  <c r="A197" i="2"/>
  <c r="F196" i="2"/>
  <c r="E196" i="2"/>
  <c r="D196" i="2"/>
  <c r="C196" i="2"/>
  <c r="A196" i="2"/>
  <c r="F195" i="2"/>
  <c r="E195" i="2"/>
  <c r="D195" i="2"/>
  <c r="C195" i="2"/>
  <c r="A195" i="2"/>
  <c r="F194" i="2"/>
  <c r="E194" i="2"/>
  <c r="D194" i="2"/>
  <c r="C194" i="2"/>
  <c r="A194" i="2"/>
  <c r="F193" i="2"/>
  <c r="E193" i="2"/>
  <c r="D193" i="2"/>
  <c r="C193" i="2"/>
  <c r="A193" i="2"/>
  <c r="F192" i="2"/>
  <c r="E192" i="2"/>
  <c r="D192" i="2"/>
  <c r="C192" i="2"/>
  <c r="A192" i="2"/>
  <c r="F191" i="2"/>
  <c r="E191" i="2"/>
  <c r="D191" i="2"/>
  <c r="C191" i="2"/>
  <c r="A191" i="2"/>
  <c r="F190" i="2"/>
  <c r="E190" i="2"/>
  <c r="D190" i="2"/>
  <c r="C190" i="2"/>
  <c r="A190" i="2"/>
  <c r="F189" i="2"/>
  <c r="E189" i="2"/>
  <c r="D189" i="2"/>
  <c r="C189" i="2"/>
  <c r="A189" i="2"/>
  <c r="F188" i="2"/>
  <c r="E188" i="2"/>
  <c r="D188" i="2"/>
  <c r="C188" i="2"/>
  <c r="B188" i="2"/>
  <c r="A188" i="2"/>
  <c r="F187" i="2"/>
  <c r="E187" i="2"/>
  <c r="D187" i="2"/>
  <c r="C187" i="2"/>
  <c r="B187" i="2"/>
  <c r="A187" i="2"/>
  <c r="F186" i="2"/>
  <c r="E186" i="2"/>
  <c r="D186" i="2"/>
  <c r="C186" i="2"/>
  <c r="A186" i="2"/>
  <c r="F185" i="2"/>
  <c r="E185" i="2"/>
  <c r="D185" i="2"/>
  <c r="C185" i="2"/>
  <c r="A185" i="2"/>
  <c r="F184" i="2"/>
  <c r="E184" i="2"/>
  <c r="D184" i="2"/>
  <c r="C184" i="2"/>
  <c r="A184" i="2"/>
  <c r="F183" i="2"/>
  <c r="E183" i="2"/>
  <c r="D183" i="2"/>
  <c r="C183" i="2"/>
  <c r="B183" i="2"/>
  <c r="A183" i="2"/>
  <c r="F182" i="2"/>
  <c r="E182" i="2"/>
  <c r="D182" i="2"/>
  <c r="C182" i="2"/>
  <c r="B182" i="2"/>
  <c r="A182" i="2"/>
  <c r="F181" i="2"/>
  <c r="E181" i="2"/>
  <c r="D181" i="2"/>
  <c r="C181" i="2"/>
  <c r="A181" i="2"/>
  <c r="F180" i="2"/>
  <c r="E180" i="2"/>
  <c r="D180" i="2"/>
  <c r="C180" i="2"/>
  <c r="A180" i="2"/>
  <c r="F179" i="2"/>
  <c r="E179" i="2"/>
  <c r="D179" i="2"/>
  <c r="C179" i="2"/>
  <c r="A179" i="2"/>
  <c r="F178" i="2"/>
  <c r="E178" i="2"/>
  <c r="D178" i="2"/>
  <c r="C178" i="2"/>
  <c r="B178" i="2"/>
  <c r="A178" i="2"/>
  <c r="F177" i="2"/>
  <c r="E177" i="2"/>
  <c r="D177" i="2"/>
  <c r="C177" i="2"/>
  <c r="A177" i="2"/>
  <c r="F176" i="2"/>
  <c r="E176" i="2"/>
  <c r="D176" i="2"/>
  <c r="C176" i="2"/>
  <c r="A176" i="2"/>
  <c r="F175" i="2"/>
  <c r="E175" i="2"/>
  <c r="D175" i="2"/>
  <c r="C175" i="2"/>
  <c r="A175" i="2"/>
  <c r="F174" i="2"/>
  <c r="E174" i="2"/>
  <c r="D174" i="2"/>
  <c r="C174" i="2"/>
  <c r="A174" i="2"/>
  <c r="F173" i="2"/>
  <c r="E173" i="2"/>
  <c r="D173" i="2"/>
  <c r="C173" i="2"/>
  <c r="A173" i="2"/>
  <c r="F172" i="2"/>
  <c r="E172" i="2"/>
  <c r="D172" i="2"/>
  <c r="C172" i="2"/>
  <c r="A172" i="2"/>
  <c r="F171" i="2"/>
  <c r="E171" i="2"/>
  <c r="D171" i="2"/>
  <c r="C171" i="2"/>
  <c r="A171" i="2"/>
  <c r="F170" i="2"/>
  <c r="E170" i="2"/>
  <c r="D170" i="2"/>
  <c r="C170" i="2"/>
  <c r="A170" i="2"/>
  <c r="F169" i="2"/>
  <c r="E169" i="2"/>
  <c r="D169" i="2"/>
  <c r="C169" i="2"/>
  <c r="A169" i="2"/>
  <c r="F168" i="2"/>
  <c r="E168" i="2"/>
  <c r="D168" i="2"/>
  <c r="C168" i="2"/>
  <c r="A168" i="2"/>
  <c r="F167" i="2"/>
  <c r="E167" i="2"/>
  <c r="D167" i="2"/>
  <c r="C167" i="2"/>
  <c r="A167" i="2"/>
  <c r="F166" i="2"/>
  <c r="E166" i="2"/>
  <c r="D166" i="2"/>
  <c r="C166" i="2"/>
  <c r="A166" i="2"/>
  <c r="F165" i="2"/>
  <c r="E165" i="2"/>
  <c r="D165" i="2"/>
  <c r="C165" i="2"/>
  <c r="A165" i="2"/>
  <c r="F164" i="2"/>
  <c r="E164" i="2"/>
  <c r="D164" i="2"/>
  <c r="C164" i="2"/>
  <c r="A164" i="2"/>
  <c r="F163" i="2"/>
  <c r="E163" i="2"/>
  <c r="D163" i="2"/>
  <c r="C163" i="2"/>
  <c r="A163" i="2"/>
  <c r="F162" i="2"/>
  <c r="E162" i="2"/>
  <c r="D162" i="2"/>
  <c r="C162" i="2"/>
  <c r="A162" i="2"/>
  <c r="F161" i="2"/>
  <c r="E161" i="2"/>
  <c r="D161" i="2"/>
  <c r="C161" i="2"/>
  <c r="A161" i="2"/>
  <c r="F160" i="2"/>
  <c r="E160" i="2"/>
  <c r="D160" i="2"/>
  <c r="C160" i="2"/>
  <c r="A160" i="2"/>
  <c r="F159" i="2"/>
  <c r="E159" i="2"/>
  <c r="D159" i="2"/>
  <c r="C159" i="2"/>
  <c r="A159" i="2"/>
  <c r="F158" i="2"/>
  <c r="E158" i="2"/>
  <c r="D158" i="2"/>
  <c r="C158" i="2"/>
  <c r="A158" i="2"/>
  <c r="F157" i="2"/>
  <c r="E157" i="2"/>
  <c r="D157" i="2"/>
  <c r="C157" i="2"/>
  <c r="B157" i="2"/>
  <c r="A157" i="2"/>
  <c r="F156" i="2"/>
  <c r="E156" i="2"/>
  <c r="D156" i="2"/>
  <c r="C156" i="2"/>
  <c r="A156" i="2"/>
  <c r="F155" i="2"/>
  <c r="E155" i="2"/>
  <c r="D155" i="2"/>
  <c r="C155" i="2"/>
  <c r="A155" i="2"/>
  <c r="F154" i="2"/>
  <c r="E154" i="2"/>
  <c r="D154" i="2"/>
  <c r="C154" i="2"/>
  <c r="A154" i="2"/>
  <c r="F153" i="2"/>
  <c r="E153" i="2"/>
  <c r="D153" i="2"/>
  <c r="C153" i="2"/>
  <c r="A153" i="2"/>
  <c r="F152" i="2"/>
  <c r="E152" i="2"/>
  <c r="D152" i="2"/>
  <c r="C152" i="2"/>
  <c r="A152" i="2"/>
  <c r="F151" i="2"/>
  <c r="E151" i="2"/>
  <c r="D151" i="2"/>
  <c r="C151" i="2"/>
  <c r="A151" i="2"/>
  <c r="F150" i="2"/>
  <c r="E150" i="2"/>
  <c r="D150" i="2"/>
  <c r="C150" i="2"/>
  <c r="A150" i="2"/>
  <c r="F149" i="2"/>
  <c r="E149" i="2"/>
  <c r="D149" i="2"/>
  <c r="C149" i="2"/>
  <c r="B149" i="2"/>
  <c r="A149" i="2"/>
  <c r="F148" i="2"/>
  <c r="E148" i="2"/>
  <c r="D148" i="2"/>
  <c r="C148" i="2"/>
  <c r="A148" i="2"/>
  <c r="F147" i="2"/>
  <c r="E147" i="2"/>
  <c r="D147" i="2"/>
  <c r="C147" i="2"/>
  <c r="A147" i="2"/>
  <c r="F146" i="2"/>
  <c r="E146" i="2"/>
  <c r="D146" i="2"/>
  <c r="C146" i="2"/>
  <c r="A146" i="2"/>
  <c r="F145" i="2"/>
  <c r="E145" i="2"/>
  <c r="D145" i="2"/>
  <c r="C145" i="2"/>
  <c r="B145" i="2"/>
  <c r="A145" i="2"/>
  <c r="F144" i="2"/>
  <c r="E144" i="2"/>
  <c r="D144" i="2"/>
  <c r="C144" i="2"/>
  <c r="A144" i="2"/>
  <c r="F143" i="2"/>
  <c r="E143" i="2"/>
  <c r="D143" i="2"/>
  <c r="C143" i="2"/>
  <c r="A143" i="2"/>
  <c r="F142" i="2"/>
  <c r="E142" i="2"/>
  <c r="D142" i="2"/>
  <c r="C142" i="2"/>
  <c r="A142" i="2"/>
  <c r="F141" i="2"/>
  <c r="E141" i="2"/>
  <c r="D141" i="2"/>
  <c r="C141" i="2"/>
  <c r="A141" i="2"/>
  <c r="F140" i="2"/>
  <c r="E140" i="2"/>
  <c r="D140" i="2"/>
  <c r="C140" i="2"/>
  <c r="A140" i="2"/>
  <c r="F139" i="2"/>
  <c r="E139" i="2"/>
  <c r="D139" i="2"/>
  <c r="C139" i="2"/>
  <c r="A139" i="2"/>
  <c r="F138" i="2"/>
  <c r="E138" i="2"/>
  <c r="D138" i="2"/>
  <c r="C138" i="2"/>
  <c r="A138" i="2"/>
  <c r="F137" i="2"/>
  <c r="E137" i="2"/>
  <c r="D137" i="2"/>
  <c r="C137" i="2"/>
  <c r="A137" i="2"/>
  <c r="F136" i="2"/>
  <c r="E136" i="2"/>
  <c r="D136" i="2"/>
  <c r="C136" i="2"/>
  <c r="A136" i="2"/>
  <c r="F135" i="2"/>
  <c r="E135" i="2"/>
  <c r="D135" i="2"/>
  <c r="C135" i="2"/>
  <c r="B135" i="2"/>
  <c r="A135" i="2"/>
  <c r="F134" i="2"/>
  <c r="E134" i="2"/>
  <c r="D134" i="2"/>
  <c r="C134" i="2"/>
  <c r="A134" i="2"/>
  <c r="F133" i="2"/>
  <c r="E133" i="2"/>
  <c r="D133" i="2"/>
  <c r="C133" i="2"/>
  <c r="A133" i="2"/>
  <c r="F132" i="2"/>
  <c r="E132" i="2"/>
  <c r="D132" i="2"/>
  <c r="C132" i="2"/>
  <c r="A132" i="2"/>
  <c r="F131" i="2"/>
  <c r="E131" i="2"/>
  <c r="D131" i="2"/>
  <c r="C131" i="2"/>
  <c r="A131" i="2"/>
  <c r="F130" i="2"/>
  <c r="E130" i="2"/>
  <c r="D130" i="2"/>
  <c r="C130" i="2"/>
  <c r="A130" i="2"/>
  <c r="F129" i="2"/>
  <c r="E129" i="2"/>
  <c r="D129" i="2"/>
  <c r="C129" i="2"/>
  <c r="A129" i="2"/>
  <c r="F128" i="2"/>
  <c r="E128" i="2"/>
  <c r="D128" i="2"/>
  <c r="C128" i="2"/>
  <c r="B128" i="2"/>
  <c r="A128" i="2"/>
  <c r="F127" i="2"/>
  <c r="E127" i="2"/>
  <c r="D127" i="2"/>
  <c r="C127" i="2"/>
  <c r="B127" i="2"/>
  <c r="A127" i="2"/>
  <c r="F126" i="2"/>
  <c r="E126" i="2"/>
  <c r="D126" i="2"/>
  <c r="C126" i="2"/>
  <c r="A126" i="2"/>
  <c r="F125" i="2"/>
  <c r="E125" i="2"/>
  <c r="D125" i="2"/>
  <c r="C125" i="2"/>
  <c r="A125" i="2"/>
  <c r="F124" i="2"/>
  <c r="E124" i="2"/>
  <c r="D124" i="2"/>
  <c r="C124" i="2"/>
  <c r="A124" i="2"/>
  <c r="F123" i="2"/>
  <c r="E123" i="2"/>
  <c r="D123" i="2"/>
  <c r="C123" i="2"/>
  <c r="B123" i="2"/>
  <c r="A123" i="2"/>
  <c r="F122" i="2"/>
  <c r="E122" i="2"/>
  <c r="D122" i="2"/>
  <c r="C122" i="2"/>
  <c r="A122" i="2"/>
  <c r="F121" i="2"/>
  <c r="E121" i="2"/>
  <c r="D121" i="2"/>
  <c r="C121" i="2"/>
  <c r="A121" i="2"/>
  <c r="F120" i="2"/>
  <c r="E120" i="2"/>
  <c r="D120" i="2"/>
  <c r="C120" i="2"/>
  <c r="A120" i="2"/>
  <c r="F119" i="2"/>
  <c r="E119" i="2"/>
  <c r="D119" i="2"/>
  <c r="C119" i="2"/>
  <c r="A119" i="2"/>
  <c r="F118" i="2"/>
  <c r="E118" i="2"/>
  <c r="D118" i="2"/>
  <c r="C118" i="2"/>
  <c r="A118" i="2"/>
  <c r="F117" i="2"/>
  <c r="E117" i="2"/>
  <c r="D117" i="2"/>
  <c r="C117" i="2"/>
  <c r="A117" i="2"/>
  <c r="F116" i="2"/>
  <c r="E116" i="2"/>
  <c r="D116" i="2"/>
  <c r="C116" i="2"/>
  <c r="A116" i="2"/>
  <c r="F115" i="2"/>
  <c r="E115" i="2"/>
  <c r="D115" i="2"/>
  <c r="C115" i="2"/>
  <c r="A115" i="2"/>
  <c r="F114" i="2"/>
  <c r="E114" i="2"/>
  <c r="D114" i="2"/>
  <c r="C114" i="2"/>
  <c r="A114" i="2"/>
  <c r="F113" i="2"/>
  <c r="E113" i="2"/>
  <c r="D113" i="2"/>
  <c r="C113" i="2"/>
  <c r="A113" i="2"/>
  <c r="F112" i="2"/>
  <c r="E112" i="2"/>
  <c r="D112" i="2"/>
  <c r="C112" i="2"/>
  <c r="B112" i="2"/>
  <c r="A112" i="2"/>
  <c r="F111" i="2"/>
  <c r="E111" i="2"/>
  <c r="D111" i="2"/>
  <c r="C111" i="2"/>
  <c r="A111" i="2"/>
  <c r="F110" i="2"/>
  <c r="E110" i="2"/>
  <c r="D110" i="2"/>
  <c r="C110" i="2"/>
  <c r="B110" i="2"/>
  <c r="A110" i="2"/>
  <c r="F109" i="2"/>
  <c r="E109" i="2"/>
  <c r="D109" i="2"/>
  <c r="C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A106" i="2"/>
  <c r="F105" i="2"/>
  <c r="E105" i="2"/>
  <c r="D105" i="2"/>
  <c r="C105" i="2"/>
  <c r="A105" i="2"/>
  <c r="F104" i="2"/>
  <c r="E104" i="2"/>
  <c r="D104" i="2"/>
  <c r="C104" i="2"/>
  <c r="A104" i="2"/>
  <c r="F103" i="2"/>
  <c r="E103" i="2"/>
  <c r="D103" i="2"/>
  <c r="C103" i="2"/>
  <c r="B103" i="2"/>
  <c r="A103" i="2"/>
  <c r="F102" i="2"/>
  <c r="E102" i="2"/>
  <c r="D102" i="2"/>
  <c r="C102" i="2"/>
  <c r="A102" i="2"/>
  <c r="F101" i="2"/>
  <c r="E101" i="2"/>
  <c r="D101" i="2"/>
  <c r="C101" i="2"/>
  <c r="B101" i="2"/>
  <c r="A101" i="2"/>
  <c r="F100" i="2"/>
  <c r="E100" i="2"/>
  <c r="D100" i="2"/>
  <c r="C100" i="2"/>
  <c r="A100" i="2"/>
  <c r="F99" i="2"/>
  <c r="E99" i="2"/>
  <c r="D99" i="2"/>
  <c r="C99" i="2"/>
  <c r="A99" i="2"/>
  <c r="F98" i="2"/>
  <c r="E98" i="2"/>
  <c r="D98" i="2"/>
  <c r="C98" i="2"/>
  <c r="A98" i="2"/>
  <c r="F97" i="2"/>
  <c r="E97" i="2"/>
  <c r="D97" i="2"/>
  <c r="C97" i="2"/>
  <c r="A97" i="2"/>
  <c r="F96" i="2"/>
  <c r="E96" i="2"/>
  <c r="D96" i="2"/>
  <c r="C96" i="2"/>
  <c r="A96" i="2"/>
  <c r="F95" i="2"/>
  <c r="E95" i="2"/>
  <c r="D95" i="2"/>
  <c r="C95" i="2"/>
  <c r="A95" i="2"/>
  <c r="F94" i="2"/>
  <c r="E94" i="2"/>
  <c r="D94" i="2"/>
  <c r="C94" i="2"/>
  <c r="A94" i="2"/>
  <c r="F93" i="2"/>
  <c r="E93" i="2"/>
  <c r="D93" i="2"/>
  <c r="C93" i="2"/>
  <c r="A93" i="2"/>
  <c r="F92" i="2"/>
  <c r="E92" i="2"/>
  <c r="D92" i="2"/>
  <c r="C92" i="2"/>
  <c r="A92" i="2"/>
  <c r="F91" i="2"/>
  <c r="E91" i="2"/>
  <c r="D91" i="2"/>
  <c r="C91" i="2"/>
  <c r="A91" i="2"/>
  <c r="F90" i="2"/>
  <c r="E90" i="2"/>
  <c r="D90" i="2"/>
  <c r="C90" i="2"/>
  <c r="A90" i="2"/>
  <c r="F89" i="2"/>
  <c r="E89" i="2"/>
  <c r="D89" i="2"/>
  <c r="C89" i="2"/>
  <c r="A89" i="2"/>
  <c r="F88" i="2"/>
  <c r="E88" i="2"/>
  <c r="D88" i="2"/>
  <c r="C88" i="2"/>
  <c r="A88" i="2"/>
  <c r="F87" i="2"/>
  <c r="E87" i="2"/>
  <c r="D87" i="2"/>
  <c r="C87" i="2"/>
  <c r="A87" i="2"/>
  <c r="F86" i="2"/>
  <c r="E86" i="2"/>
  <c r="D86" i="2"/>
  <c r="C86" i="2"/>
  <c r="A86" i="2"/>
  <c r="F85" i="2"/>
  <c r="E85" i="2"/>
  <c r="D85" i="2"/>
  <c r="C85" i="2"/>
  <c r="A85" i="2"/>
  <c r="F84" i="2"/>
  <c r="E84" i="2"/>
  <c r="D84" i="2"/>
  <c r="C84" i="2"/>
  <c r="B84" i="2"/>
  <c r="A84" i="2"/>
  <c r="F83" i="2"/>
  <c r="E83" i="2"/>
  <c r="D83" i="2"/>
  <c r="C83" i="2"/>
  <c r="A83" i="2"/>
  <c r="F82" i="2"/>
  <c r="E82" i="2"/>
  <c r="D82" i="2"/>
  <c r="C82" i="2"/>
  <c r="A82" i="2"/>
  <c r="F81" i="2"/>
  <c r="E81" i="2"/>
  <c r="D81" i="2"/>
  <c r="C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A78" i="2"/>
  <c r="F77" i="2"/>
  <c r="E77" i="2"/>
  <c r="D77" i="2"/>
  <c r="C77" i="2"/>
  <c r="A77" i="2"/>
  <c r="F76" i="2"/>
  <c r="E76" i="2"/>
  <c r="D76" i="2"/>
  <c r="C76" i="2"/>
  <c r="A76" i="2"/>
  <c r="F75" i="2"/>
  <c r="E75" i="2"/>
  <c r="D75" i="2"/>
  <c r="C75" i="2"/>
  <c r="A75" i="2"/>
  <c r="F74" i="2"/>
  <c r="E74" i="2"/>
  <c r="D74" i="2"/>
  <c r="C74" i="2"/>
  <c r="A74" i="2"/>
  <c r="F73" i="2"/>
  <c r="E73" i="2"/>
  <c r="D73" i="2"/>
  <c r="C73" i="2"/>
  <c r="A73" i="2"/>
  <c r="F72" i="2"/>
  <c r="E72" i="2"/>
  <c r="D72" i="2"/>
  <c r="C72" i="2"/>
  <c r="A72" i="2"/>
  <c r="F71" i="2"/>
  <c r="E71" i="2"/>
  <c r="D71" i="2"/>
  <c r="C71" i="2"/>
  <c r="A71" i="2"/>
  <c r="F70" i="2"/>
  <c r="E70" i="2"/>
  <c r="D70" i="2"/>
  <c r="C70" i="2"/>
  <c r="B70" i="2"/>
  <c r="A70" i="2"/>
  <c r="F69" i="2"/>
  <c r="E69" i="2"/>
  <c r="D69" i="2"/>
  <c r="C69" i="2"/>
  <c r="A69" i="2"/>
  <c r="F68" i="2"/>
  <c r="E68" i="2"/>
  <c r="D68" i="2"/>
  <c r="C68" i="2"/>
  <c r="A68" i="2"/>
  <c r="F67" i="2"/>
  <c r="E67" i="2"/>
  <c r="D67" i="2"/>
  <c r="C67" i="2"/>
  <c r="B67" i="2"/>
  <c r="A67" i="2"/>
  <c r="F66" i="2"/>
  <c r="E66" i="2"/>
  <c r="D66" i="2"/>
  <c r="C66" i="2"/>
  <c r="A66" i="2"/>
  <c r="F65" i="2"/>
  <c r="E65" i="2"/>
  <c r="D65" i="2"/>
  <c r="C65" i="2"/>
  <c r="B65" i="2"/>
  <c r="A65" i="2"/>
  <c r="F64" i="2"/>
  <c r="E64" i="2"/>
  <c r="D64" i="2"/>
  <c r="C64" i="2"/>
  <c r="A64" i="2"/>
  <c r="F63" i="2"/>
  <c r="E63" i="2"/>
  <c r="D63" i="2"/>
  <c r="C63" i="2"/>
  <c r="A63" i="2"/>
  <c r="F62" i="2"/>
  <c r="E62" i="2"/>
  <c r="D62" i="2"/>
  <c r="C62" i="2"/>
  <c r="A62" i="2"/>
  <c r="F61" i="2"/>
  <c r="E61" i="2"/>
  <c r="D61" i="2"/>
  <c r="C61" i="2"/>
  <c r="A61" i="2"/>
  <c r="F60" i="2"/>
  <c r="E60" i="2"/>
  <c r="D60" i="2"/>
  <c r="C60" i="2"/>
  <c r="A60" i="2"/>
  <c r="F59" i="2"/>
  <c r="E59" i="2"/>
  <c r="D59" i="2"/>
  <c r="C59" i="2"/>
  <c r="A59" i="2"/>
  <c r="F58" i="2"/>
  <c r="E58" i="2"/>
  <c r="D58" i="2"/>
  <c r="C58" i="2"/>
  <c r="A58" i="2"/>
  <c r="F57" i="2"/>
  <c r="E57" i="2"/>
  <c r="D57" i="2"/>
  <c r="C57" i="2"/>
  <c r="A57" i="2"/>
  <c r="F56" i="2"/>
  <c r="E56" i="2"/>
  <c r="D56" i="2"/>
  <c r="C56" i="2"/>
  <c r="A56" i="2"/>
  <c r="F55" i="2"/>
  <c r="E55" i="2"/>
  <c r="D55" i="2"/>
  <c r="C55" i="2"/>
  <c r="A55" i="2"/>
  <c r="F54" i="2"/>
  <c r="E54" i="2"/>
  <c r="D54" i="2"/>
  <c r="C54" i="2"/>
  <c r="A54" i="2"/>
  <c r="F53" i="2"/>
  <c r="E53" i="2"/>
  <c r="D53" i="2"/>
  <c r="C53" i="2"/>
  <c r="B53" i="2"/>
  <c r="A53" i="2"/>
  <c r="F52" i="2"/>
  <c r="E52" i="2"/>
  <c r="D52" i="2"/>
  <c r="C52" i="2"/>
  <c r="A52" i="2"/>
  <c r="F51" i="2"/>
  <c r="E51" i="2"/>
  <c r="D51" i="2"/>
  <c r="C51" i="2"/>
  <c r="A51" i="2"/>
  <c r="F50" i="2"/>
  <c r="E50" i="2"/>
  <c r="D50" i="2"/>
  <c r="C50" i="2"/>
  <c r="A50" i="2"/>
  <c r="F49" i="2"/>
  <c r="E49" i="2"/>
  <c r="D49" i="2"/>
  <c r="C49" i="2"/>
  <c r="A49" i="2"/>
  <c r="F48" i="2"/>
  <c r="E48" i="2"/>
  <c r="D48" i="2"/>
  <c r="C48" i="2"/>
  <c r="A48" i="2"/>
  <c r="F47" i="2"/>
  <c r="E47" i="2"/>
  <c r="D47" i="2"/>
  <c r="C47" i="2"/>
  <c r="B47" i="2"/>
  <c r="A47" i="2"/>
  <c r="F46" i="2"/>
  <c r="E46" i="2"/>
  <c r="D46" i="2"/>
  <c r="C46" i="2"/>
  <c r="A46" i="2"/>
  <c r="F45" i="2"/>
  <c r="E45" i="2"/>
  <c r="D45" i="2"/>
  <c r="C45" i="2"/>
  <c r="B45" i="2"/>
  <c r="A45" i="2"/>
  <c r="F44" i="2"/>
  <c r="E44" i="2"/>
  <c r="D44" i="2"/>
  <c r="C44" i="2"/>
  <c r="A44" i="2"/>
  <c r="F43" i="2"/>
  <c r="E43" i="2"/>
  <c r="D43" i="2"/>
  <c r="C43" i="2"/>
  <c r="A43" i="2"/>
  <c r="F42" i="2"/>
  <c r="E42" i="2"/>
  <c r="D42" i="2"/>
  <c r="C42" i="2"/>
  <c r="A42" i="2"/>
  <c r="F41" i="2"/>
  <c r="E41" i="2"/>
  <c r="D41" i="2"/>
  <c r="C41" i="2"/>
  <c r="A41" i="2"/>
  <c r="F40" i="2"/>
  <c r="E40" i="2"/>
  <c r="D40" i="2"/>
  <c r="C40" i="2"/>
  <c r="A40" i="2"/>
  <c r="F39" i="2"/>
  <c r="E39" i="2"/>
  <c r="D39" i="2"/>
  <c r="C39" i="2"/>
  <c r="A39" i="2"/>
  <c r="F38" i="2"/>
  <c r="E38" i="2"/>
  <c r="D38" i="2"/>
  <c r="C38" i="2"/>
  <c r="A38" i="2"/>
  <c r="F37" i="2"/>
  <c r="E37" i="2"/>
  <c r="D37" i="2"/>
  <c r="C37" i="2"/>
  <c r="A37" i="2"/>
  <c r="F36" i="2"/>
  <c r="E36" i="2"/>
  <c r="D36" i="2"/>
  <c r="C36" i="2"/>
  <c r="A36" i="2"/>
  <c r="F35" i="2"/>
  <c r="E35" i="2"/>
  <c r="D35" i="2"/>
  <c r="C35" i="2"/>
  <c r="A35" i="2"/>
  <c r="F34" i="2"/>
  <c r="E34" i="2"/>
  <c r="D34" i="2"/>
  <c r="C34" i="2"/>
  <c r="A34" i="2"/>
  <c r="F33" i="2"/>
  <c r="E33" i="2"/>
  <c r="D33" i="2"/>
  <c r="C33" i="2"/>
  <c r="B33" i="2"/>
  <c r="A33" i="2"/>
  <c r="F32" i="2"/>
  <c r="E32" i="2"/>
  <c r="D32" i="2"/>
  <c r="C32" i="2"/>
  <c r="A32" i="2"/>
  <c r="F31" i="2"/>
  <c r="E31" i="2"/>
  <c r="D31" i="2"/>
  <c r="C31" i="2"/>
  <c r="A31" i="2"/>
  <c r="F30" i="2"/>
  <c r="E30" i="2"/>
  <c r="D30" i="2"/>
  <c r="C30" i="2"/>
  <c r="A30" i="2"/>
  <c r="F29" i="2"/>
  <c r="E29" i="2"/>
  <c r="D29" i="2"/>
  <c r="C29" i="2"/>
  <c r="A29" i="2"/>
  <c r="F28" i="2"/>
  <c r="E28" i="2"/>
  <c r="D28" i="2"/>
  <c r="C28" i="2"/>
  <c r="A28" i="2"/>
  <c r="F27" i="2"/>
  <c r="E27" i="2"/>
  <c r="D27" i="2"/>
  <c r="C27" i="2"/>
  <c r="A27" i="2"/>
  <c r="F26" i="2"/>
  <c r="E26" i="2"/>
  <c r="D26" i="2"/>
  <c r="C26" i="2"/>
  <c r="A26" i="2"/>
  <c r="F25" i="2"/>
  <c r="E25" i="2"/>
  <c r="D25" i="2"/>
  <c r="C25" i="2"/>
  <c r="A25" i="2"/>
  <c r="F24" i="2"/>
  <c r="E24" i="2"/>
  <c r="D24" i="2"/>
  <c r="C24" i="2"/>
  <c r="A24" i="2"/>
  <c r="F23" i="2"/>
  <c r="E23" i="2"/>
  <c r="D23" i="2"/>
  <c r="C23" i="2"/>
  <c r="A23" i="2"/>
  <c r="F22" i="2"/>
  <c r="E22" i="2"/>
  <c r="D22" i="2"/>
  <c r="C22" i="2"/>
  <c r="A22" i="2"/>
  <c r="F21" i="2"/>
  <c r="E21" i="2"/>
  <c r="D21" i="2"/>
  <c r="C21" i="2"/>
  <c r="A21" i="2"/>
  <c r="F20" i="2"/>
  <c r="E20" i="2"/>
  <c r="D20" i="2"/>
  <c r="C20" i="2"/>
  <c r="A20" i="2"/>
  <c r="F19" i="2"/>
  <c r="E19" i="2"/>
  <c r="D19" i="2"/>
  <c r="C19" i="2"/>
  <c r="A19" i="2"/>
  <c r="F18" i="2"/>
  <c r="E18" i="2"/>
  <c r="D18" i="2"/>
  <c r="C18" i="2"/>
  <c r="A18" i="2"/>
  <c r="F17" i="2"/>
  <c r="E17" i="2"/>
  <c r="D17" i="2"/>
  <c r="C17" i="2"/>
  <c r="A17" i="2"/>
  <c r="F16" i="2"/>
  <c r="E16" i="2"/>
  <c r="D16" i="2"/>
  <c r="C16" i="2"/>
  <c r="A16" i="2"/>
  <c r="F15" i="2"/>
  <c r="E15" i="2"/>
  <c r="D15" i="2"/>
  <c r="C15" i="2"/>
  <c r="A15" i="2"/>
  <c r="F14" i="2"/>
  <c r="E14" i="2"/>
  <c r="D14" i="2"/>
  <c r="C14" i="2"/>
  <c r="A14" i="2"/>
  <c r="F13" i="2"/>
  <c r="E13" i="2"/>
  <c r="D13" i="2"/>
  <c r="C13" i="2"/>
  <c r="A13" i="2"/>
  <c r="F12" i="2"/>
  <c r="E12" i="2"/>
  <c r="D12" i="2"/>
  <c r="C12" i="2"/>
  <c r="B12" i="2"/>
  <c r="A12" i="2"/>
  <c r="F11" i="2"/>
  <c r="E11" i="2"/>
  <c r="D11" i="2"/>
  <c r="C11" i="2"/>
  <c r="A11" i="2"/>
  <c r="F10" i="2"/>
  <c r="E10" i="2"/>
  <c r="D10" i="2"/>
  <c r="C10" i="2"/>
  <c r="B10" i="2"/>
  <c r="A10" i="2"/>
  <c r="F9" i="2"/>
  <c r="E9" i="2"/>
  <c r="D9" i="2"/>
  <c r="C9" i="2"/>
  <c r="A9" i="2"/>
  <c r="F8" i="2"/>
  <c r="E8" i="2"/>
  <c r="D8" i="2"/>
  <c r="C8" i="2"/>
  <c r="A8" i="2"/>
  <c r="F7" i="2"/>
  <c r="E7" i="2"/>
  <c r="D7" i="2"/>
  <c r="C7" i="2"/>
  <c r="A7" i="2"/>
  <c r="F6" i="2"/>
  <c r="E6" i="2"/>
  <c r="D6" i="2"/>
  <c r="C6" i="2"/>
  <c r="A6" i="2"/>
  <c r="F5" i="2"/>
  <c r="E5" i="2"/>
  <c r="D5" i="2"/>
  <c r="C5" i="2"/>
  <c r="A5" i="2"/>
  <c r="F4" i="2"/>
  <c r="E4" i="2"/>
  <c r="D4" i="2"/>
  <c r="C4" i="2"/>
  <c r="A4" i="2"/>
  <c r="F3" i="2"/>
  <c r="E3" i="2"/>
  <c r="D3" i="2"/>
  <c r="C3" i="2"/>
  <c r="A3" i="2"/>
  <c r="F2" i="2"/>
  <c r="E2" i="2"/>
  <c r="D2" i="2"/>
  <c r="C2" i="2"/>
  <c r="A2" i="2"/>
</calcChain>
</file>

<file path=xl/sharedStrings.xml><?xml version="1.0" encoding="utf-8"?>
<sst xmlns="http://schemas.openxmlformats.org/spreadsheetml/2006/main" count="6" uniqueCount="6">
  <si>
    <t>Diversity Certifications</t>
  </si>
  <si>
    <t>Customer Address</t>
  </si>
  <si>
    <t>City</t>
  </si>
  <si>
    <t>State</t>
  </si>
  <si>
    <t>Zip Code</t>
  </si>
  <si>
    <t>OFS Brands Inc. Dealer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</si>
</sst>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color theme="1"/>
      <name val="Calibri"/>
      <family val="2"/>
    </font>
    <font>
      <b/>
      <sz val="10"/>
      <color rgb="FFFFFFFF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2" fillId="2" borderId="1" xfId="0" applyFont="1" applyFill="1" applyBorder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1001"/>
  <sheetViews>
    <sheetView tabSelected="1" workbookViewId="0">
      <pane ySplit="1" topLeftCell="A2" activePane="bottomLeft" state="frozen"/>
      <selection pane="bottomLeft" activeCell="A4" sqref="A4"/>
    </sheetView>
  </sheetViews>
  <sheetFormatPr defaultColWidth="14.453125" defaultRowHeight="15" customHeight="1" x14ac:dyDescent="0.25"/>
  <cols>
    <col min="1" max="1" width="57.7265625" customWidth="1"/>
    <col min="2" max="2" width="15.7265625" customWidth="1"/>
    <col min="3" max="3" width="40.453125" customWidth="1"/>
    <col min="4" max="4" width="20.26953125" customWidth="1"/>
    <col min="5" max="5" width="9.7265625" customWidth="1"/>
    <col min="6" max="6" width="16" customWidth="1"/>
    <col min="7" max="7" width="36.81640625" customWidth="1"/>
  </cols>
  <sheetData>
    <row r="1" spans="1:9" ht="27" x14ac:dyDescent="0.35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/>
    </row>
    <row r="2" spans="1:9" ht="15" customHeight="1" x14ac:dyDescent="0.3">
      <c r="A2" s="2" t="str">
        <f ca="1">IFERROR(__xludf.DUMMYFUNCTION("""COMPUTED_VALUE"""),"360 OFFICE SOLUTIONS")</f>
        <v>360 OFFICE SOLUTIONS</v>
      </c>
      <c r="B2" s="3"/>
      <c r="C2" s="2" t="str">
        <f ca="1">IFERROR(__xludf.DUMMYFUNCTION("""COMPUTED_VALUE"""),"*PO BOX 30598")</f>
        <v>*PO BOX 30598</v>
      </c>
      <c r="D2" s="2" t="str">
        <f ca="1">IFERROR(__xludf.DUMMYFUNCTION("""COMPUTED_VALUE"""),"BILLINGS")</f>
        <v>BILLINGS</v>
      </c>
      <c r="E2" s="2" t="str">
        <f ca="1">IFERROR(__xludf.DUMMYFUNCTION("""COMPUTED_VALUE"""),"MT")</f>
        <v>MT</v>
      </c>
      <c r="F2" s="4" t="str">
        <f ca="1">IFERROR(__xludf.DUMMYFUNCTION("""COMPUTED_VALUE"""),"59107")</f>
        <v>59107</v>
      </c>
      <c r="G2" s="2"/>
      <c r="H2" s="2"/>
      <c r="I2" s="2"/>
    </row>
    <row r="3" spans="1:9" ht="15" customHeight="1" x14ac:dyDescent="0.3">
      <c r="A3" s="2" t="str">
        <f ca="1">IFERROR(__xludf.DUMMYFUNCTION("""COMPUTED_VALUE"""),"A C DESK COMPANY INC")</f>
        <v>A C DESK COMPANY INC</v>
      </c>
      <c r="B3" s="3"/>
      <c r="C3" s="2" t="str">
        <f ca="1">IFERROR(__xludf.DUMMYFUNCTION("""COMPUTED_VALUE"""),"*249 ELM PL")</f>
        <v>*249 ELM PL</v>
      </c>
      <c r="D3" s="2" t="str">
        <f ca="1">IFERROR(__xludf.DUMMYFUNCTION("""COMPUTED_VALUE"""),"MINEOLA")</f>
        <v>MINEOLA</v>
      </c>
      <c r="E3" s="2" t="str">
        <f ca="1">IFERROR(__xludf.DUMMYFUNCTION("""COMPUTED_VALUE"""),"NY")</f>
        <v>NY</v>
      </c>
      <c r="F3" s="4" t="str">
        <f ca="1">IFERROR(__xludf.DUMMYFUNCTION("""COMPUTED_VALUE"""),"11501")</f>
        <v>11501</v>
      </c>
      <c r="G3" s="2"/>
      <c r="H3" s="2"/>
      <c r="I3" s="2"/>
    </row>
    <row r="4" spans="1:9" ht="15" customHeight="1" x14ac:dyDescent="0.3">
      <c r="A4" s="2" t="str">
        <f ca="1">IFERROR(__xludf.DUMMYFUNCTION("""COMPUTED_VALUE"""),"A J GRACK BUSINESS INTERIORS")</f>
        <v>A J GRACK BUSINESS INTERIORS</v>
      </c>
      <c r="B4" s="3"/>
      <c r="C4" s="2" t="str">
        <f ca="1">IFERROR(__xludf.DUMMYFUNCTION("""COMPUTED_VALUE"""),"*3364 W 26TH ST  PO BOX 8171")</f>
        <v>*3364 W 26TH ST  PO BOX 8171</v>
      </c>
      <c r="D4" s="2" t="str">
        <f ca="1">IFERROR(__xludf.DUMMYFUNCTION("""COMPUTED_VALUE"""),"ERIE")</f>
        <v>ERIE</v>
      </c>
      <c r="E4" s="2" t="str">
        <f ca="1">IFERROR(__xludf.DUMMYFUNCTION("""COMPUTED_VALUE"""),"PA")</f>
        <v>PA</v>
      </c>
      <c r="F4" s="4" t="str">
        <f ca="1">IFERROR(__xludf.DUMMYFUNCTION("""COMPUTED_VALUE"""),"16506")</f>
        <v>16506</v>
      </c>
      <c r="G4" s="2"/>
      <c r="H4" s="2"/>
      <c r="I4" s="2"/>
    </row>
    <row r="5" spans="1:9" ht="15" customHeight="1" x14ac:dyDescent="0.3">
      <c r="A5" s="2" t="str">
        <f ca="1">IFERROR(__xludf.DUMMYFUNCTION("""COMPUTED_VALUE"""),"A-Z OFFICE RESOURCE INC-COLUMBIA")</f>
        <v>A-Z OFFICE RESOURCE INC-COLUMBIA</v>
      </c>
      <c r="B5" s="3"/>
      <c r="C5" s="2" t="str">
        <f ca="1">IFERROR(__xludf.DUMMYFUNCTION("""COMPUTED_VALUE"""),"*P O BOX 1317")</f>
        <v>*P O BOX 1317</v>
      </c>
      <c r="D5" s="2" t="str">
        <f ca="1">IFERROR(__xludf.DUMMYFUNCTION("""COMPUTED_VALUE"""),"COLUMBIA")</f>
        <v>COLUMBIA</v>
      </c>
      <c r="E5" s="2" t="str">
        <f ca="1">IFERROR(__xludf.DUMMYFUNCTION("""COMPUTED_VALUE"""),"TN")</f>
        <v>TN</v>
      </c>
      <c r="F5" s="4" t="str">
        <f ca="1">IFERROR(__xludf.DUMMYFUNCTION("""COMPUTED_VALUE"""),"38402")</f>
        <v>38402</v>
      </c>
      <c r="G5" s="2"/>
      <c r="H5" s="2"/>
      <c r="I5" s="2"/>
    </row>
    <row r="6" spans="1:9" ht="15" customHeight="1" x14ac:dyDescent="0.3">
      <c r="A6" s="2" t="str">
        <f ca="1">IFERROR(__xludf.DUMMYFUNCTION("""COMPUTED_VALUE"""),"AAA BUSINESS SUPPLIES &amp; INTERIORS")</f>
        <v>AAA BUSINESS SUPPLIES &amp; INTERIORS</v>
      </c>
      <c r="B6" s="3"/>
      <c r="C6" s="2" t="str">
        <f ca="1">IFERROR(__xludf.DUMMYFUNCTION("""COMPUTED_VALUE"""),"*325 MENDELL ST")</f>
        <v>*325 MENDELL ST</v>
      </c>
      <c r="D6" s="2" t="str">
        <f ca="1">IFERROR(__xludf.DUMMYFUNCTION("""COMPUTED_VALUE"""),"SAN FRANCISCO")</f>
        <v>SAN FRANCISCO</v>
      </c>
      <c r="E6" s="2" t="str">
        <f ca="1">IFERROR(__xludf.DUMMYFUNCTION("""COMPUTED_VALUE"""),"CA")</f>
        <v>CA</v>
      </c>
      <c r="F6" s="4" t="str">
        <f ca="1">IFERROR(__xludf.DUMMYFUNCTION("""COMPUTED_VALUE"""),"94124")</f>
        <v>94124</v>
      </c>
      <c r="G6" s="2"/>
      <c r="H6" s="2"/>
      <c r="I6" s="2"/>
    </row>
    <row r="7" spans="1:9" ht="15" customHeight="1" x14ac:dyDescent="0.3">
      <c r="A7" s="2" t="str">
        <f ca="1">IFERROR(__xludf.DUMMYFUNCTION("""COMPUTED_VALUE"""),"ABLES-LAND INC")</f>
        <v>ABLES-LAND INC</v>
      </c>
      <c r="B7" s="3"/>
      <c r="C7" s="2" t="str">
        <f ca="1">IFERROR(__xludf.DUMMYFUNCTION("""COMPUTED_VALUE"""),"*PO BOX 7933")</f>
        <v>*PO BOX 7933</v>
      </c>
      <c r="D7" s="2" t="str">
        <f ca="1">IFERROR(__xludf.DUMMYFUNCTION("""COMPUTED_VALUE"""),"TYLER")</f>
        <v>TYLER</v>
      </c>
      <c r="E7" s="2" t="str">
        <f ca="1">IFERROR(__xludf.DUMMYFUNCTION("""COMPUTED_VALUE"""),"TX")</f>
        <v>TX</v>
      </c>
      <c r="F7" s="4" t="str">
        <f ca="1">IFERROR(__xludf.DUMMYFUNCTION("""COMPUTED_VALUE"""),"75711")</f>
        <v>75711</v>
      </c>
      <c r="G7" s="2"/>
      <c r="H7" s="2"/>
      <c r="I7" s="2"/>
    </row>
    <row r="8" spans="1:9" ht="15" customHeight="1" x14ac:dyDescent="0.3">
      <c r="A8" s="2" t="str">
        <f ca="1">IFERROR(__xludf.DUMMYFUNCTION("""COMPUTED_VALUE"""),"ACCENT COMMERCIAL FURNITURE INC")</f>
        <v>ACCENT COMMERCIAL FURNITURE INC</v>
      </c>
      <c r="B8" s="3"/>
      <c r="C8" s="2" t="str">
        <f ca="1">IFERROR(__xludf.DUMMYFUNCTION("""COMPUTED_VALUE"""),"*3 INTERSTATE AVE")</f>
        <v>*3 INTERSTATE AVE</v>
      </c>
      <c r="D8" s="2" t="str">
        <f ca="1">IFERROR(__xludf.DUMMYFUNCTION("""COMPUTED_VALUE"""),"ALBANY")</f>
        <v>ALBANY</v>
      </c>
      <c r="E8" s="2" t="str">
        <f ca="1">IFERROR(__xludf.DUMMYFUNCTION("""COMPUTED_VALUE"""),"NY")</f>
        <v>NY</v>
      </c>
      <c r="F8" s="4" t="str">
        <f ca="1">IFERROR(__xludf.DUMMYFUNCTION("""COMPUTED_VALUE"""),"12205")</f>
        <v>12205</v>
      </c>
      <c r="G8" s="2"/>
      <c r="H8" s="2"/>
      <c r="I8" s="2"/>
    </row>
    <row r="9" spans="1:9" ht="15" customHeight="1" x14ac:dyDescent="0.3">
      <c r="A9" s="2" t="str">
        <f ca="1">IFERROR(__xludf.DUMMYFUNCTION("""COMPUTED_VALUE"""),"ADVANCED OFFICE ENVIRONMENTS INC")</f>
        <v>ADVANCED OFFICE ENVIRONMENTS INC</v>
      </c>
      <c r="B9" s="3"/>
      <c r="C9" s="2" t="str">
        <f ca="1">IFERROR(__xludf.DUMMYFUNCTION("""COMPUTED_VALUE"""),"*160 QUAKER LANE-MALVERN BUSINESS PARK")</f>
        <v>*160 QUAKER LANE-MALVERN BUSINESS PARK</v>
      </c>
      <c r="D9" s="2" t="str">
        <f ca="1">IFERROR(__xludf.DUMMYFUNCTION("""COMPUTED_VALUE"""),"MALVERN")</f>
        <v>MALVERN</v>
      </c>
      <c r="E9" s="2" t="str">
        <f ca="1">IFERROR(__xludf.DUMMYFUNCTION("""COMPUTED_VALUE"""),"PA")</f>
        <v>PA</v>
      </c>
      <c r="F9" s="4" t="str">
        <f ca="1">IFERROR(__xludf.DUMMYFUNCTION("""COMPUTED_VALUE"""),"19355")</f>
        <v>19355</v>
      </c>
      <c r="G9" s="2"/>
      <c r="H9" s="2"/>
      <c r="I9" s="2"/>
    </row>
    <row r="10" spans="1:9" ht="15" customHeight="1" x14ac:dyDescent="0.3">
      <c r="A10" s="2" t="str">
        <f ca="1">IFERROR(__xludf.DUMMYFUNCTION("""COMPUTED_VALUE"""),"AEGIS HC LLC")</f>
        <v>AEGIS HC LLC</v>
      </c>
      <c r="B10" s="3" t="str">
        <f ca="1">IFERROR(__xludf.DUMMYFUNCTION("""COMPUTED_VALUE"""),"SB (micro)")</f>
        <v>SB (micro)</v>
      </c>
      <c r="C10" s="2" t="str">
        <f ca="1">IFERROR(__xludf.DUMMYFUNCTION("""COMPUTED_VALUE"""),"*28511 SILVERTON DR")</f>
        <v>*28511 SILVERTON DR</v>
      </c>
      <c r="D10" s="2" t="str">
        <f ca="1">IFERROR(__xludf.DUMMYFUNCTION("""COMPUTED_VALUE"""),"LAGUNA NIGUEL")</f>
        <v>LAGUNA NIGUEL</v>
      </c>
      <c r="E10" s="2" t="str">
        <f ca="1">IFERROR(__xludf.DUMMYFUNCTION("""COMPUTED_VALUE"""),"CA")</f>
        <v>CA</v>
      </c>
      <c r="F10" s="4" t="str">
        <f ca="1">IFERROR(__xludf.DUMMYFUNCTION("""COMPUTED_VALUE"""),"92677")</f>
        <v>92677</v>
      </c>
      <c r="G10" s="2"/>
      <c r="H10" s="2"/>
      <c r="I10" s="2"/>
    </row>
    <row r="11" spans="1:9" ht="15" customHeight="1" x14ac:dyDescent="0.3">
      <c r="A11" s="2" t="str">
        <f ca="1">IFERROR(__xludf.DUMMYFUNCTION("""COMPUTED_VALUE"""),"AGILE INTERIORS")</f>
        <v>AGILE INTERIORS</v>
      </c>
      <c r="B11" s="3"/>
      <c r="C11" s="2" t="str">
        <f ca="1">IFERROR(__xludf.DUMMYFUNCTION("""COMPUTED_VALUE"""),"*7110 OLD KATY RD STE 150")</f>
        <v>*7110 OLD KATY RD STE 150</v>
      </c>
      <c r="D11" s="2" t="str">
        <f ca="1">IFERROR(__xludf.DUMMYFUNCTION("""COMPUTED_VALUE"""),"HOUSTON")</f>
        <v>HOUSTON</v>
      </c>
      <c r="E11" s="2" t="str">
        <f ca="1">IFERROR(__xludf.DUMMYFUNCTION("""COMPUTED_VALUE"""),"TX")</f>
        <v>TX</v>
      </c>
      <c r="F11" s="4" t="str">
        <f ca="1">IFERROR(__xludf.DUMMYFUNCTION("""COMPUTED_VALUE"""),"77024")</f>
        <v>77024</v>
      </c>
      <c r="G11" s="2"/>
      <c r="H11" s="2"/>
      <c r="I11" s="2"/>
    </row>
    <row r="12" spans="1:9" ht="15" customHeight="1" x14ac:dyDescent="0.3">
      <c r="A12" s="2" t="str">
        <f ca="1">IFERROR(__xludf.DUMMYFUNCTION("""COMPUTED_VALUE"""),"AI CORPORATE INTERIORS INC-AL")</f>
        <v>AI CORPORATE INTERIORS INC-AL</v>
      </c>
      <c r="B12" s="3" t="str">
        <f ca="1">IFERROR(__xludf.DUMMYFUNCTION("""COMPUTED_VALUE"""),"WO, SB")</f>
        <v>WO, SB</v>
      </c>
      <c r="C12" s="2" t="str">
        <f ca="1">IFERROR(__xludf.DUMMYFUNCTION("""COMPUTED_VALUE"""),"*3017B 2ND AVE S")</f>
        <v>*3017B 2ND AVE S</v>
      </c>
      <c r="D12" s="2" t="str">
        <f ca="1">IFERROR(__xludf.DUMMYFUNCTION("""COMPUTED_VALUE"""),"BIRMINGHAM")</f>
        <v>BIRMINGHAM</v>
      </c>
      <c r="E12" s="2" t="str">
        <f ca="1">IFERROR(__xludf.DUMMYFUNCTION("""COMPUTED_VALUE"""),"AL")</f>
        <v>AL</v>
      </c>
      <c r="F12" s="4" t="str">
        <f ca="1">IFERROR(__xludf.DUMMYFUNCTION("""COMPUTED_VALUE"""),"35233-3001")</f>
        <v>35233-3001</v>
      </c>
      <c r="G12" s="2"/>
      <c r="H12" s="2"/>
      <c r="I12" s="2"/>
    </row>
    <row r="13" spans="1:9" ht="15" customHeight="1" x14ac:dyDescent="0.3">
      <c r="A13" s="2" t="str">
        <f ca="1">IFERROR(__xludf.DUMMYFUNCTION("""COMPUTED_VALUE"""),"AIREA")</f>
        <v>AIREA</v>
      </c>
      <c r="B13" s="3"/>
      <c r="C13" s="2" t="str">
        <f ca="1">IFERROR(__xludf.DUMMYFUNCTION("""COMPUTED_VALUE"""),"*3000 TOWN CTR STE 80")</f>
        <v>*3000 TOWN CTR STE 80</v>
      </c>
      <c r="D13" s="2" t="str">
        <f ca="1">IFERROR(__xludf.DUMMYFUNCTION("""COMPUTED_VALUE"""),"SOUTHFIELD")</f>
        <v>SOUTHFIELD</v>
      </c>
      <c r="E13" s="2" t="str">
        <f ca="1">IFERROR(__xludf.DUMMYFUNCTION("""COMPUTED_VALUE"""),"MI")</f>
        <v>MI</v>
      </c>
      <c r="F13" s="4" t="str">
        <f ca="1">IFERROR(__xludf.DUMMYFUNCTION("""COMPUTED_VALUE"""),"48075")</f>
        <v>48075</v>
      </c>
      <c r="G13" s="2"/>
      <c r="H13" s="2"/>
      <c r="I13" s="2"/>
    </row>
    <row r="14" spans="1:9" ht="15" customHeight="1" x14ac:dyDescent="0.3">
      <c r="A14" s="2" t="str">
        <f ca="1">IFERROR(__xludf.DUMMYFUNCTION("""COMPUTED_VALUE"""),"ALABAMA CONTRACT SALES INC")</f>
        <v>ALABAMA CONTRACT SALES INC</v>
      </c>
      <c r="B14" s="3"/>
      <c r="C14" s="2" t="str">
        <f ca="1">IFERROR(__xludf.DUMMYFUNCTION("""COMPUTED_VALUE"""),"*PO BOX 3490")</f>
        <v>*PO BOX 3490</v>
      </c>
      <c r="D14" s="2" t="str">
        <f ca="1">IFERROR(__xludf.DUMMYFUNCTION("""COMPUTED_VALUE"""),"AUBURN")</f>
        <v>AUBURN</v>
      </c>
      <c r="E14" s="2" t="str">
        <f ca="1">IFERROR(__xludf.DUMMYFUNCTION("""COMPUTED_VALUE"""),"AL")</f>
        <v>AL</v>
      </c>
      <c r="F14" s="4" t="str">
        <f ca="1">IFERROR(__xludf.DUMMYFUNCTION("""COMPUTED_VALUE"""),"36831")</f>
        <v>36831</v>
      </c>
      <c r="G14" s="2"/>
      <c r="H14" s="2"/>
      <c r="I14" s="2"/>
    </row>
    <row r="15" spans="1:9" ht="15" customHeight="1" x14ac:dyDescent="0.3">
      <c r="A15" s="2" t="str">
        <f ca="1">IFERROR(__xludf.DUMMYFUNCTION("""COMPUTED_VALUE"""),"ALFRED WILLIAMS &amp; CO-CHARLESTON")</f>
        <v>ALFRED WILLIAMS &amp; CO-CHARLESTON</v>
      </c>
      <c r="B15" s="3"/>
      <c r="C15" s="2" t="str">
        <f ca="1">IFERROR(__xludf.DUMMYFUNCTION("""COMPUTED_VALUE"""),"*884 JOHNNIE DODD BLVD STE 102")</f>
        <v>*884 JOHNNIE DODD BLVD STE 102</v>
      </c>
      <c r="D15" s="2" t="str">
        <f ca="1">IFERROR(__xludf.DUMMYFUNCTION("""COMPUTED_VALUE"""),"CHARLESTON")</f>
        <v>CHARLESTON</v>
      </c>
      <c r="E15" s="2" t="str">
        <f ca="1">IFERROR(__xludf.DUMMYFUNCTION("""COMPUTED_VALUE"""),"SC")</f>
        <v>SC</v>
      </c>
      <c r="F15" s="4" t="str">
        <f ca="1">IFERROR(__xludf.DUMMYFUNCTION("""COMPUTED_VALUE"""),"29405")</f>
        <v>29405</v>
      </c>
      <c r="G15" s="2"/>
      <c r="H15" s="2"/>
      <c r="I15" s="2"/>
    </row>
    <row r="16" spans="1:9" ht="15" customHeight="1" x14ac:dyDescent="0.3">
      <c r="A16" s="2" t="str">
        <f ca="1">IFERROR(__xludf.DUMMYFUNCTION("""COMPUTED_VALUE"""),"ALFRED WILLIAMS &amp; CO-CHARLOTTE")</f>
        <v>ALFRED WILLIAMS &amp; CO-CHARLOTTE</v>
      </c>
      <c r="B16" s="3"/>
      <c r="C16" s="2" t="str">
        <f ca="1">IFERROR(__xludf.DUMMYFUNCTION("""COMPUTED_VALUE"""),"*410 S SALISBURY ST STE 200")</f>
        <v>*410 S SALISBURY ST STE 200</v>
      </c>
      <c r="D16" s="2" t="str">
        <f ca="1">IFERROR(__xludf.DUMMYFUNCTION("""COMPUTED_VALUE"""),"RALEIGH")</f>
        <v>RALEIGH</v>
      </c>
      <c r="E16" s="2" t="str">
        <f ca="1">IFERROR(__xludf.DUMMYFUNCTION("""COMPUTED_VALUE"""),"NC")</f>
        <v>NC</v>
      </c>
      <c r="F16" s="4" t="str">
        <f ca="1">IFERROR(__xludf.DUMMYFUNCTION("""COMPUTED_VALUE"""),"27601")</f>
        <v>27601</v>
      </c>
      <c r="G16" s="2"/>
      <c r="H16" s="2"/>
      <c r="I16" s="2"/>
    </row>
    <row r="17" spans="1:9" ht="15" customHeight="1" x14ac:dyDescent="0.3">
      <c r="A17" s="2" t="str">
        <f ca="1">IFERROR(__xludf.DUMMYFUNCTION("""COMPUTED_VALUE"""),"ALFRED WILLIAMS &amp; CO-COLFAX")</f>
        <v>ALFRED WILLIAMS &amp; CO-COLFAX</v>
      </c>
      <c r="B17" s="3"/>
      <c r="C17" s="2" t="str">
        <f ca="1">IFERROR(__xludf.DUMMYFUNCTION("""COMPUTED_VALUE"""),"*410 S SALISBURY ST STE 200")</f>
        <v>*410 S SALISBURY ST STE 200</v>
      </c>
      <c r="D17" s="2" t="str">
        <f ca="1">IFERROR(__xludf.DUMMYFUNCTION("""COMPUTED_VALUE"""),"RALEIGH")</f>
        <v>RALEIGH</v>
      </c>
      <c r="E17" s="2" t="str">
        <f ca="1">IFERROR(__xludf.DUMMYFUNCTION("""COMPUTED_VALUE"""),"NC")</f>
        <v>NC</v>
      </c>
      <c r="F17" s="4" t="str">
        <f ca="1">IFERROR(__xludf.DUMMYFUNCTION("""COMPUTED_VALUE"""),"27601")</f>
        <v>27601</v>
      </c>
      <c r="G17" s="2"/>
      <c r="H17" s="2"/>
      <c r="I17" s="2"/>
    </row>
    <row r="18" spans="1:9" ht="15" customHeight="1" x14ac:dyDescent="0.3">
      <c r="A18" s="2" t="str">
        <f ca="1">IFERROR(__xludf.DUMMYFUNCTION("""COMPUTED_VALUE"""),"ALFRED WILLIAMS &amp; CO-COLUMBIA")</f>
        <v>ALFRED WILLIAMS &amp; CO-COLUMBIA</v>
      </c>
      <c r="B18" s="3"/>
      <c r="C18" s="2" t="str">
        <f ca="1">IFERROR(__xludf.DUMMYFUNCTION("""COMPUTED_VALUE"""),"*410 S SALISBURY ST STE 200")</f>
        <v>*410 S SALISBURY ST STE 200</v>
      </c>
      <c r="D18" s="2" t="str">
        <f ca="1">IFERROR(__xludf.DUMMYFUNCTION("""COMPUTED_VALUE"""),"RALEIGH")</f>
        <v>RALEIGH</v>
      </c>
      <c r="E18" s="2" t="str">
        <f ca="1">IFERROR(__xludf.DUMMYFUNCTION("""COMPUTED_VALUE"""),"NC")</f>
        <v>NC</v>
      </c>
      <c r="F18" s="4" t="str">
        <f ca="1">IFERROR(__xludf.DUMMYFUNCTION("""COMPUTED_VALUE"""),"27601")</f>
        <v>27601</v>
      </c>
      <c r="G18" s="2"/>
      <c r="H18" s="2"/>
      <c r="I18" s="2"/>
    </row>
    <row r="19" spans="1:9" ht="15" customHeight="1" x14ac:dyDescent="0.3">
      <c r="A19" s="2" t="str">
        <f ca="1">IFERROR(__xludf.DUMMYFUNCTION("""COMPUTED_VALUE"""),"ALFRED WILLIAMS &amp; CO-GREENVILLE")</f>
        <v>ALFRED WILLIAMS &amp; CO-GREENVILLE</v>
      </c>
      <c r="B19" s="3"/>
      <c r="C19" s="2" t="str">
        <f ca="1">IFERROR(__xludf.DUMMYFUNCTION("""COMPUTED_VALUE"""),"*410 S SALISBURY ST STE 200")</f>
        <v>*410 S SALISBURY ST STE 200</v>
      </c>
      <c r="D19" s="2" t="str">
        <f ca="1">IFERROR(__xludf.DUMMYFUNCTION("""COMPUTED_VALUE"""),"RALEIGH")</f>
        <v>RALEIGH</v>
      </c>
      <c r="E19" s="2" t="str">
        <f ca="1">IFERROR(__xludf.DUMMYFUNCTION("""COMPUTED_VALUE"""),"NC")</f>
        <v>NC</v>
      </c>
      <c r="F19" s="4" t="str">
        <f ca="1">IFERROR(__xludf.DUMMYFUNCTION("""COMPUTED_VALUE"""),"27601")</f>
        <v>27601</v>
      </c>
      <c r="G19" s="2"/>
      <c r="H19" s="2"/>
      <c r="I19" s="2"/>
    </row>
    <row r="20" spans="1:9" ht="15" customHeight="1" x14ac:dyDescent="0.3">
      <c r="A20" s="2" t="str">
        <f ca="1">IFERROR(__xludf.DUMMYFUNCTION("""COMPUTED_VALUE"""),"ALFRED WILLIAMS &amp; CO-NASHVILLE")</f>
        <v>ALFRED WILLIAMS &amp; CO-NASHVILLE</v>
      </c>
      <c r="B20" s="3"/>
      <c r="C20" s="2" t="str">
        <f ca="1">IFERROR(__xludf.DUMMYFUNCTION("""COMPUTED_VALUE"""),"*410 S SALISBURY ST STE 200")</f>
        <v>*410 S SALISBURY ST STE 200</v>
      </c>
      <c r="D20" s="2" t="str">
        <f ca="1">IFERROR(__xludf.DUMMYFUNCTION("""COMPUTED_VALUE"""),"RALEIGH")</f>
        <v>RALEIGH</v>
      </c>
      <c r="E20" s="2" t="str">
        <f ca="1">IFERROR(__xludf.DUMMYFUNCTION("""COMPUTED_VALUE"""),"NC")</f>
        <v>NC</v>
      </c>
      <c r="F20" s="4" t="str">
        <f ca="1">IFERROR(__xludf.DUMMYFUNCTION("""COMPUTED_VALUE"""),"27601")</f>
        <v>27601</v>
      </c>
      <c r="G20" s="2"/>
      <c r="H20" s="2"/>
      <c r="I20" s="2"/>
    </row>
    <row r="21" spans="1:9" ht="15" customHeight="1" x14ac:dyDescent="0.3">
      <c r="A21" s="2" t="str">
        <f ca="1">IFERROR(__xludf.DUMMYFUNCTION("""COMPUTED_VALUE"""),"ALFRED WILLIAMS &amp; CO-RALEIGH")</f>
        <v>ALFRED WILLIAMS &amp; CO-RALEIGH</v>
      </c>
      <c r="B21" s="3"/>
      <c r="C21" s="2" t="str">
        <f ca="1">IFERROR(__xludf.DUMMYFUNCTION("""COMPUTED_VALUE"""),"*410 S SALISBURY ST STE 200")</f>
        <v>*410 S SALISBURY ST STE 200</v>
      </c>
      <c r="D21" s="2" t="str">
        <f ca="1">IFERROR(__xludf.DUMMYFUNCTION("""COMPUTED_VALUE"""),"RALEIGH")</f>
        <v>RALEIGH</v>
      </c>
      <c r="E21" s="2" t="str">
        <f ca="1">IFERROR(__xludf.DUMMYFUNCTION("""COMPUTED_VALUE"""),"NC")</f>
        <v>NC</v>
      </c>
      <c r="F21" s="4" t="str">
        <f ca="1">IFERROR(__xludf.DUMMYFUNCTION("""COMPUTED_VALUE"""),"27601")</f>
        <v>27601</v>
      </c>
      <c r="G21" s="2"/>
      <c r="H21" s="2"/>
      <c r="I21" s="2"/>
    </row>
    <row r="22" spans="1:9" ht="15" customHeight="1" x14ac:dyDescent="0.3">
      <c r="A22" s="2" t="str">
        <f ca="1">IFERROR(__xludf.DUMMYFUNCTION("""COMPUTED_VALUE"""),"ALL MAKES OFFICE EQUIPMENT COMPANY")</f>
        <v>ALL MAKES OFFICE EQUIPMENT COMPANY</v>
      </c>
      <c r="B22" s="3"/>
      <c r="C22" s="2" t="str">
        <f ca="1">IFERROR(__xludf.DUMMYFUNCTION("""COMPUTED_VALUE"""),"*2558 FARNAM")</f>
        <v>*2558 FARNAM</v>
      </c>
      <c r="D22" s="2" t="str">
        <f ca="1">IFERROR(__xludf.DUMMYFUNCTION("""COMPUTED_VALUE"""),"OMAHA")</f>
        <v>OMAHA</v>
      </c>
      <c r="E22" s="2" t="str">
        <f ca="1">IFERROR(__xludf.DUMMYFUNCTION("""COMPUTED_VALUE"""),"NE")</f>
        <v>NE</v>
      </c>
      <c r="F22" s="4" t="str">
        <f ca="1">IFERROR(__xludf.DUMMYFUNCTION("""COMPUTED_VALUE"""),"68131")</f>
        <v>68131</v>
      </c>
      <c r="G22" s="2"/>
      <c r="H22" s="2"/>
      <c r="I22" s="2"/>
    </row>
    <row r="23" spans="1:9" ht="15" customHeight="1" x14ac:dyDescent="0.3">
      <c r="A23" s="2" t="str">
        <f ca="1">IFERROR(__xludf.DUMMYFUNCTION("""COMPUTED_VALUE"""),"ALL MAKES OFFICE EQUIPMENT COMPANY")</f>
        <v>ALL MAKES OFFICE EQUIPMENT COMPANY</v>
      </c>
      <c r="B23" s="3"/>
      <c r="C23" s="2" t="str">
        <f ca="1">IFERROR(__xludf.DUMMYFUNCTION("""COMPUTED_VALUE"""),"*3333 O ST")</f>
        <v>*3333 O ST</v>
      </c>
      <c r="D23" s="2" t="str">
        <f ca="1">IFERROR(__xludf.DUMMYFUNCTION("""COMPUTED_VALUE"""),"LINCOLN")</f>
        <v>LINCOLN</v>
      </c>
      <c r="E23" s="2" t="str">
        <f ca="1">IFERROR(__xludf.DUMMYFUNCTION("""COMPUTED_VALUE"""),"NE")</f>
        <v>NE</v>
      </c>
      <c r="F23" s="4" t="str">
        <f ca="1">IFERROR(__xludf.DUMMYFUNCTION("""COMPUTED_VALUE"""),"68510")</f>
        <v>68510</v>
      </c>
      <c r="G23" s="2"/>
      <c r="H23" s="2"/>
      <c r="I23" s="2"/>
    </row>
    <row r="24" spans="1:9" ht="15" customHeight="1" x14ac:dyDescent="0.3">
      <c r="A24" s="2" t="str">
        <f ca="1">IFERROR(__xludf.DUMMYFUNCTION("""COMPUTED_VALUE"""),"ALLSTATE OFFICE INTERIORS INC")</f>
        <v>ALLSTATE OFFICE INTERIORS INC</v>
      </c>
      <c r="B24" s="3"/>
      <c r="C24" s="2" t="str">
        <f ca="1">IFERROR(__xludf.DUMMYFUNCTION("""COMPUTED_VALUE"""),"*113 N GOLD DR")</f>
        <v>*113 N GOLD DR</v>
      </c>
      <c r="D24" s="2" t="str">
        <f ca="1">IFERROR(__xludf.DUMMYFUNCTION("""COMPUTED_VALUE"""),"ROBBINSVILLE")</f>
        <v>ROBBINSVILLE</v>
      </c>
      <c r="E24" s="2" t="str">
        <f ca="1">IFERROR(__xludf.DUMMYFUNCTION("""COMPUTED_VALUE"""),"NJ")</f>
        <v>NJ</v>
      </c>
      <c r="F24" s="4" t="str">
        <f ca="1">IFERROR(__xludf.DUMMYFUNCTION("""COMPUTED_VALUE"""),"08691")</f>
        <v>08691</v>
      </c>
      <c r="G24" s="2"/>
      <c r="H24" s="2"/>
      <c r="I24" s="2"/>
    </row>
    <row r="25" spans="1:9" ht="15" customHeight="1" x14ac:dyDescent="0.3">
      <c r="A25" s="2" t="str">
        <f ca="1">IFERROR(__xludf.DUMMYFUNCTION("""COMPUTED_VALUE"""),"AMERICAN INTERIORS INC-TOLEDO")</f>
        <v>AMERICAN INTERIORS INC-TOLEDO</v>
      </c>
      <c r="B25" s="3"/>
      <c r="C25" s="2" t="str">
        <f ca="1">IFERROR(__xludf.DUMMYFUNCTION("""COMPUTED_VALUE"""),"*302 S BYRNE BLDG 100")</f>
        <v>*302 S BYRNE BLDG 100</v>
      </c>
      <c r="D25" s="2" t="str">
        <f ca="1">IFERROR(__xludf.DUMMYFUNCTION("""COMPUTED_VALUE"""),"TOLEDO")</f>
        <v>TOLEDO</v>
      </c>
      <c r="E25" s="2" t="str">
        <f ca="1">IFERROR(__xludf.DUMMYFUNCTION("""COMPUTED_VALUE"""),"OH")</f>
        <v>OH</v>
      </c>
      <c r="F25" s="4" t="str">
        <f ca="1">IFERROR(__xludf.DUMMYFUNCTION("""COMPUTED_VALUE"""),"43615")</f>
        <v>43615</v>
      </c>
      <c r="G25" s="2"/>
      <c r="H25" s="2"/>
      <c r="I25" s="2"/>
    </row>
    <row r="26" spans="1:9" ht="15" customHeight="1" x14ac:dyDescent="0.3">
      <c r="A26" s="2" t="str">
        <f ca="1">IFERROR(__xludf.DUMMYFUNCTION("""COMPUTED_VALUE"""),"AMERICAN OFFICE / BALTIMORE - 01")</f>
        <v>AMERICAN OFFICE / BALTIMORE - 01</v>
      </c>
      <c r="B26" s="3"/>
      <c r="C26" s="2" t="str">
        <f ca="1">IFERROR(__xludf.DUMMYFUNCTION("""COMPUTED_VALUE"""),"*309 N CALVERT ST")</f>
        <v>*309 N CALVERT ST</v>
      </c>
      <c r="D26" s="2" t="str">
        <f ca="1">IFERROR(__xludf.DUMMYFUNCTION("""COMPUTED_VALUE"""),"BALTIMORE")</f>
        <v>BALTIMORE</v>
      </c>
      <c r="E26" s="2" t="str">
        <f ca="1">IFERROR(__xludf.DUMMYFUNCTION("""COMPUTED_VALUE"""),"MD")</f>
        <v>MD</v>
      </c>
      <c r="F26" s="4" t="str">
        <f ca="1">IFERROR(__xludf.DUMMYFUNCTION("""COMPUTED_VALUE"""),"21202")</f>
        <v>21202</v>
      </c>
      <c r="G26" s="2"/>
      <c r="H26" s="2"/>
      <c r="I26" s="2"/>
    </row>
    <row r="27" spans="1:9" ht="15" customHeight="1" x14ac:dyDescent="0.3">
      <c r="A27" s="2" t="str">
        <f ca="1">IFERROR(__xludf.DUMMYFUNCTION("""COMPUTED_VALUE"""),"AMERICAN OFFICE / CHANTILLY - 03")</f>
        <v>AMERICAN OFFICE / CHANTILLY - 03</v>
      </c>
      <c r="B27" s="3"/>
      <c r="C27" s="2" t="str">
        <f ca="1">IFERROR(__xludf.DUMMYFUNCTION("""COMPUTED_VALUE"""),"*309 N CALVERT ST")</f>
        <v>*309 N CALVERT ST</v>
      </c>
      <c r="D27" s="2" t="str">
        <f ca="1">IFERROR(__xludf.DUMMYFUNCTION("""COMPUTED_VALUE"""),"BALTIMORE")</f>
        <v>BALTIMORE</v>
      </c>
      <c r="E27" s="2" t="str">
        <f ca="1">IFERROR(__xludf.DUMMYFUNCTION("""COMPUTED_VALUE"""),"MD")</f>
        <v>MD</v>
      </c>
      <c r="F27" s="4" t="str">
        <f ca="1">IFERROR(__xludf.DUMMYFUNCTION("""COMPUTED_VALUE"""),"21202")</f>
        <v>21202</v>
      </c>
      <c r="G27" s="2"/>
      <c r="H27" s="2"/>
      <c r="I27" s="2"/>
    </row>
    <row r="28" spans="1:9" ht="15" customHeight="1" x14ac:dyDescent="0.3">
      <c r="A28" s="2" t="str">
        <f ca="1">IFERROR(__xludf.DUMMYFUNCTION("""COMPUTED_VALUE"""),"AMERICAN OFFICE / CHARLOTTESVILLE - 09")</f>
        <v>AMERICAN OFFICE / CHARLOTTESVILLE - 09</v>
      </c>
      <c r="B28" s="3"/>
      <c r="C28" s="2" t="str">
        <f ca="1">IFERROR(__xludf.DUMMYFUNCTION("""COMPUTED_VALUE"""),"*309 N CALVERT ST")</f>
        <v>*309 N CALVERT ST</v>
      </c>
      <c r="D28" s="2" t="str">
        <f ca="1">IFERROR(__xludf.DUMMYFUNCTION("""COMPUTED_VALUE"""),"BALTIMORE")</f>
        <v>BALTIMORE</v>
      </c>
      <c r="E28" s="2" t="str">
        <f ca="1">IFERROR(__xludf.DUMMYFUNCTION("""COMPUTED_VALUE"""),"MD")</f>
        <v>MD</v>
      </c>
      <c r="F28" s="4" t="str">
        <f ca="1">IFERROR(__xludf.DUMMYFUNCTION("""COMPUTED_VALUE"""),"21202")</f>
        <v>21202</v>
      </c>
      <c r="G28" s="2"/>
      <c r="H28" s="2"/>
      <c r="I28" s="2"/>
    </row>
    <row r="29" spans="1:9" ht="13" x14ac:dyDescent="0.3">
      <c r="A29" s="2" t="str">
        <f ca="1">IFERROR(__xludf.DUMMYFUNCTION("""COMPUTED_VALUE"""),"AMERICAN OFFICE / GAITHERSBURG - 02")</f>
        <v>AMERICAN OFFICE / GAITHERSBURG - 02</v>
      </c>
      <c r="B29" s="3"/>
      <c r="C29" s="2" t="str">
        <f ca="1">IFERROR(__xludf.DUMMYFUNCTION("""COMPUTED_VALUE"""),"*309 N CALVERT ST")</f>
        <v>*309 N CALVERT ST</v>
      </c>
      <c r="D29" s="2" t="str">
        <f ca="1">IFERROR(__xludf.DUMMYFUNCTION("""COMPUTED_VALUE"""),"BALTIMORE")</f>
        <v>BALTIMORE</v>
      </c>
      <c r="E29" s="2" t="str">
        <f ca="1">IFERROR(__xludf.DUMMYFUNCTION("""COMPUTED_VALUE"""),"MD")</f>
        <v>MD</v>
      </c>
      <c r="F29" s="4" t="str">
        <f ca="1">IFERROR(__xludf.DUMMYFUNCTION("""COMPUTED_VALUE"""),"21202")</f>
        <v>21202</v>
      </c>
      <c r="G29" s="2"/>
      <c r="H29" s="2"/>
      <c r="I29" s="2"/>
    </row>
    <row r="30" spans="1:9" ht="13" x14ac:dyDescent="0.3">
      <c r="A30" s="2" t="str">
        <f ca="1">IFERROR(__xludf.DUMMYFUNCTION("""COMPUTED_VALUE"""),"AMERICAN OFFICE / NORFOLK - 08")</f>
        <v>AMERICAN OFFICE / NORFOLK - 08</v>
      </c>
      <c r="B30" s="3"/>
      <c r="C30" s="2" t="str">
        <f ca="1">IFERROR(__xludf.DUMMYFUNCTION("""COMPUTED_VALUE"""),"*309 N CALVERT ST")</f>
        <v>*309 N CALVERT ST</v>
      </c>
      <c r="D30" s="2" t="str">
        <f ca="1">IFERROR(__xludf.DUMMYFUNCTION("""COMPUTED_VALUE"""),"BALTIMORE")</f>
        <v>BALTIMORE</v>
      </c>
      <c r="E30" s="2" t="str">
        <f ca="1">IFERROR(__xludf.DUMMYFUNCTION("""COMPUTED_VALUE"""),"MD")</f>
        <v>MD</v>
      </c>
      <c r="F30" s="4" t="str">
        <f ca="1">IFERROR(__xludf.DUMMYFUNCTION("""COMPUTED_VALUE"""),"21202")</f>
        <v>21202</v>
      </c>
      <c r="G30" s="2"/>
      <c r="H30" s="2"/>
      <c r="I30" s="2"/>
    </row>
    <row r="31" spans="1:9" ht="13" x14ac:dyDescent="0.3">
      <c r="A31" s="2" t="str">
        <f ca="1">IFERROR(__xludf.DUMMYFUNCTION("""COMPUTED_VALUE"""),"AMERICAN OFFICE / RICHMOND - 07")</f>
        <v>AMERICAN OFFICE / RICHMOND - 07</v>
      </c>
      <c r="B31" s="3"/>
      <c r="C31" s="2" t="str">
        <f ca="1">IFERROR(__xludf.DUMMYFUNCTION("""COMPUTED_VALUE"""),"*309 N CALVERT ST")</f>
        <v>*309 N CALVERT ST</v>
      </c>
      <c r="D31" s="2" t="str">
        <f ca="1">IFERROR(__xludf.DUMMYFUNCTION("""COMPUTED_VALUE"""),"BALTIMORE")</f>
        <v>BALTIMORE</v>
      </c>
      <c r="E31" s="2" t="str">
        <f ca="1">IFERROR(__xludf.DUMMYFUNCTION("""COMPUTED_VALUE"""),"MD")</f>
        <v>MD</v>
      </c>
      <c r="F31" s="4" t="str">
        <f ca="1">IFERROR(__xludf.DUMMYFUNCTION("""COMPUTED_VALUE"""),"21202")</f>
        <v>21202</v>
      </c>
      <c r="G31" s="2"/>
      <c r="H31" s="2"/>
      <c r="I31" s="2"/>
    </row>
    <row r="32" spans="1:9" ht="13" x14ac:dyDescent="0.3">
      <c r="A32" s="2" t="str">
        <f ca="1">IFERROR(__xludf.DUMMYFUNCTION("""COMPUTED_VALUE"""),"AMERICAN OFFICE / WASHINGTON DC - 04")</f>
        <v>AMERICAN OFFICE / WASHINGTON DC - 04</v>
      </c>
      <c r="B32" s="3"/>
      <c r="C32" s="2" t="str">
        <f ca="1">IFERROR(__xludf.DUMMYFUNCTION("""COMPUTED_VALUE"""),"*309 N CALVERT ST")</f>
        <v>*309 N CALVERT ST</v>
      </c>
      <c r="D32" s="2" t="str">
        <f ca="1">IFERROR(__xludf.DUMMYFUNCTION("""COMPUTED_VALUE"""),"BALTIMORE")</f>
        <v>BALTIMORE</v>
      </c>
      <c r="E32" s="2" t="str">
        <f ca="1">IFERROR(__xludf.DUMMYFUNCTION("""COMPUTED_VALUE"""),"MD")</f>
        <v>MD</v>
      </c>
      <c r="F32" s="4" t="str">
        <f ca="1">IFERROR(__xludf.DUMMYFUNCTION("""COMPUTED_VALUE"""),"21202")</f>
        <v>21202</v>
      </c>
      <c r="G32" s="2"/>
      <c r="H32" s="2"/>
      <c r="I32" s="2"/>
    </row>
    <row r="33" spans="1:9" ht="13" x14ac:dyDescent="0.3">
      <c r="A33" s="2" t="str">
        <f ca="1">IFERROR(__xludf.DUMMYFUNCTION("""COMPUTED_VALUE"""),"ANDERSON INTERIORS-PA")</f>
        <v>ANDERSON INTERIORS-PA</v>
      </c>
      <c r="B33" s="3" t="str">
        <f ca="1">IFERROR(__xludf.DUMMYFUNCTION("""COMPUTED_VALUE"""),"WBE")</f>
        <v>WBE</v>
      </c>
      <c r="C33" s="2" t="str">
        <f ca="1">IFERROR(__xludf.DUMMYFUNCTION("""COMPUTED_VALUE"""),"*12 PLUM ST")</f>
        <v>*12 PLUM ST</v>
      </c>
      <c r="D33" s="2" t="str">
        <f ca="1">IFERROR(__xludf.DUMMYFUNCTION("""COMPUTED_VALUE"""),"VERONA")</f>
        <v>VERONA</v>
      </c>
      <c r="E33" s="2" t="str">
        <f ca="1">IFERROR(__xludf.DUMMYFUNCTION("""COMPUTED_VALUE"""),"PA")</f>
        <v>PA</v>
      </c>
      <c r="F33" s="4" t="str">
        <f ca="1">IFERROR(__xludf.DUMMYFUNCTION("""COMPUTED_VALUE"""),"15147")</f>
        <v>15147</v>
      </c>
      <c r="G33" s="2"/>
      <c r="H33" s="2"/>
      <c r="I33" s="2"/>
    </row>
    <row r="34" spans="1:9" ht="13" x14ac:dyDescent="0.3">
      <c r="A34" s="2" t="str">
        <f ca="1">IFERROR(__xludf.DUMMYFUNCTION("""COMPUTED_VALUE"""),"AOI FURNITURE SERVICES-OMAHA")</f>
        <v>AOI FURNITURE SERVICES-OMAHA</v>
      </c>
      <c r="B34" s="3"/>
      <c r="C34" s="2" t="str">
        <f ca="1">IFERROR(__xludf.DUMMYFUNCTION("""COMPUTED_VALUE"""),"*8801 S 137TH CIR")</f>
        <v>*8801 S 137TH CIR</v>
      </c>
      <c r="D34" s="2" t="str">
        <f ca="1">IFERROR(__xludf.DUMMYFUNCTION("""COMPUTED_VALUE"""),"OMAHA")</f>
        <v>OMAHA</v>
      </c>
      <c r="E34" s="2" t="str">
        <f ca="1">IFERROR(__xludf.DUMMYFUNCTION("""COMPUTED_VALUE"""),"NE")</f>
        <v>NE</v>
      </c>
      <c r="F34" s="4" t="str">
        <f ca="1">IFERROR(__xludf.DUMMYFUNCTION("""COMPUTED_VALUE"""),"68138")</f>
        <v>68138</v>
      </c>
      <c r="G34" s="2"/>
      <c r="H34" s="2"/>
      <c r="I34" s="2"/>
    </row>
    <row r="35" spans="1:9" ht="13" x14ac:dyDescent="0.3">
      <c r="A35" s="2" t="str">
        <f ca="1">IFERROR(__xludf.DUMMYFUNCTION("""COMPUTED_VALUE"""),"AOS INTERIOR ENVIRONMENTS")</f>
        <v>AOS INTERIOR ENVIRONMENTS</v>
      </c>
      <c r="B35" s="3"/>
      <c r="C35" s="2" t="str">
        <f ca="1">IFERROR(__xludf.DUMMYFUNCTION("""COMPUTED_VALUE"""),"*400 POYDRAS ST STE 1700  TEXACO BLDG")</f>
        <v>*400 POYDRAS ST STE 1700  TEXACO BLDG</v>
      </c>
      <c r="D35" s="2" t="str">
        <f ca="1">IFERROR(__xludf.DUMMYFUNCTION("""COMPUTED_VALUE"""),"NEW ORLEANS")</f>
        <v>NEW ORLEANS</v>
      </c>
      <c r="E35" s="2" t="str">
        <f ca="1">IFERROR(__xludf.DUMMYFUNCTION("""COMPUTED_VALUE"""),"LA")</f>
        <v>LA</v>
      </c>
      <c r="F35" s="4" t="str">
        <f ca="1">IFERROR(__xludf.DUMMYFUNCTION("""COMPUTED_VALUE"""),"70130")</f>
        <v>70130</v>
      </c>
      <c r="G35" s="2"/>
      <c r="H35" s="2"/>
      <c r="I35" s="2"/>
    </row>
    <row r="36" spans="1:9" ht="13" x14ac:dyDescent="0.3">
      <c r="A36" s="2" t="str">
        <f ca="1">IFERROR(__xludf.DUMMYFUNCTION("""COMPUTED_VALUE"""),"APG OFFICE FURNISHINGS INC-AKRON")</f>
        <v>APG OFFICE FURNISHINGS INC-AKRON</v>
      </c>
      <c r="B36" s="3"/>
      <c r="C36" s="2" t="str">
        <f ca="1">IFERROR(__xludf.DUMMYFUNCTION("""COMPUTED_VALUE"""),"*12075 NORTHWEST BLVD STE 100")</f>
        <v>*12075 NORTHWEST BLVD STE 100</v>
      </c>
      <c r="D36" s="2" t="str">
        <f ca="1">IFERROR(__xludf.DUMMYFUNCTION("""COMPUTED_VALUE"""),"CINCINNATI")</f>
        <v>CINCINNATI</v>
      </c>
      <c r="E36" s="2" t="str">
        <f ca="1">IFERROR(__xludf.DUMMYFUNCTION("""COMPUTED_VALUE"""),"OH")</f>
        <v>OH</v>
      </c>
      <c r="F36" s="4" t="str">
        <f ca="1">IFERROR(__xludf.DUMMYFUNCTION("""COMPUTED_VALUE"""),"45246")</f>
        <v>45246</v>
      </c>
      <c r="G36" s="2"/>
      <c r="H36" s="2"/>
      <c r="I36" s="2"/>
    </row>
    <row r="37" spans="1:9" ht="13" x14ac:dyDescent="0.3">
      <c r="A37" s="2" t="str">
        <f ca="1">IFERROR(__xludf.DUMMYFUNCTION("""COMPUTED_VALUE"""),"APG OFFICE FURNISHINGS INC-CINCINNATI")</f>
        <v>APG OFFICE FURNISHINGS INC-CINCINNATI</v>
      </c>
      <c r="B37" s="3"/>
      <c r="C37" s="2" t="str">
        <f ca="1">IFERROR(__xludf.DUMMYFUNCTION("""COMPUTED_VALUE"""),"*12075 NORTHWEST BLVD STE 100")</f>
        <v>*12075 NORTHWEST BLVD STE 100</v>
      </c>
      <c r="D37" s="2" t="str">
        <f ca="1">IFERROR(__xludf.DUMMYFUNCTION("""COMPUTED_VALUE"""),"CINCINNATI")</f>
        <v>CINCINNATI</v>
      </c>
      <c r="E37" s="2" t="str">
        <f ca="1">IFERROR(__xludf.DUMMYFUNCTION("""COMPUTED_VALUE"""),"OH")</f>
        <v>OH</v>
      </c>
      <c r="F37" s="4" t="str">
        <f ca="1">IFERROR(__xludf.DUMMYFUNCTION("""COMPUTED_VALUE"""),"45246-1228")</f>
        <v>45246-1228</v>
      </c>
      <c r="G37" s="2"/>
      <c r="H37" s="2"/>
      <c r="I37" s="2"/>
    </row>
    <row r="38" spans="1:9" ht="13" x14ac:dyDescent="0.3">
      <c r="A38" s="2" t="str">
        <f ca="1">IFERROR(__xludf.DUMMYFUNCTION("""COMPUTED_VALUE"""),"APG OFFICE FURNISHINGS INC-CLEVELAND")</f>
        <v>APG OFFICE FURNISHINGS INC-CLEVELAND</v>
      </c>
      <c r="B38" s="3"/>
      <c r="C38" s="2" t="str">
        <f ca="1">IFERROR(__xludf.DUMMYFUNCTION("""COMPUTED_VALUE"""),"*12075 NORTHWEST BLVD STE 100")</f>
        <v>*12075 NORTHWEST BLVD STE 100</v>
      </c>
      <c r="D38" s="2" t="str">
        <f ca="1">IFERROR(__xludf.DUMMYFUNCTION("""COMPUTED_VALUE"""),"CINCINNATI")</f>
        <v>CINCINNATI</v>
      </c>
      <c r="E38" s="2" t="str">
        <f ca="1">IFERROR(__xludf.DUMMYFUNCTION("""COMPUTED_VALUE"""),"OH")</f>
        <v>OH</v>
      </c>
      <c r="F38" s="4" t="str">
        <f ca="1">IFERROR(__xludf.DUMMYFUNCTION("""COMPUTED_VALUE"""),"45246")</f>
        <v>45246</v>
      </c>
      <c r="G38" s="2"/>
      <c r="H38" s="2"/>
      <c r="I38" s="2"/>
    </row>
    <row r="39" spans="1:9" ht="13" x14ac:dyDescent="0.3">
      <c r="A39" s="2" t="str">
        <f ca="1">IFERROR(__xludf.DUMMYFUNCTION("""COMPUTED_VALUE"""),"APG OFFICE FURNISHINGS INC-MEMPHIS")</f>
        <v>APG OFFICE FURNISHINGS INC-MEMPHIS</v>
      </c>
      <c r="B39" s="3"/>
      <c r="C39" s="2" t="str">
        <f ca="1">IFERROR(__xludf.DUMMYFUNCTION("""COMPUTED_VALUE"""),"*12075 NORTHWEST BLVD STE 100")</f>
        <v>*12075 NORTHWEST BLVD STE 100</v>
      </c>
      <c r="D39" s="2" t="str">
        <f ca="1">IFERROR(__xludf.DUMMYFUNCTION("""COMPUTED_VALUE"""),"CINCINNATI")</f>
        <v>CINCINNATI</v>
      </c>
      <c r="E39" s="2" t="str">
        <f ca="1">IFERROR(__xludf.DUMMYFUNCTION("""COMPUTED_VALUE"""),"OH")</f>
        <v>OH</v>
      </c>
      <c r="F39" s="4" t="str">
        <f ca="1">IFERROR(__xludf.DUMMYFUNCTION("""COMPUTED_VALUE"""),"45246")</f>
        <v>45246</v>
      </c>
      <c r="G39" s="2"/>
      <c r="H39" s="2"/>
      <c r="I39" s="2"/>
    </row>
    <row r="40" spans="1:9" ht="13" x14ac:dyDescent="0.3">
      <c r="A40" s="2" t="str">
        <f ca="1">IFERROR(__xludf.DUMMYFUNCTION("""COMPUTED_VALUE"""),"ARBEE ASSOCIATES-MD")</f>
        <v>ARBEE ASSOCIATES-MD</v>
      </c>
      <c r="B40" s="3"/>
      <c r="C40" s="2" t="str">
        <f ca="1">IFERROR(__xludf.DUMMYFUNCTION("""COMPUTED_VALUE"""),"*1531 S WASHINGTON AVE")</f>
        <v>*1531 S WASHINGTON AVE</v>
      </c>
      <c r="D40" s="2" t="str">
        <f ca="1">IFERROR(__xludf.DUMMYFUNCTION("""COMPUTED_VALUE"""),"PISCATAWAY")</f>
        <v>PISCATAWAY</v>
      </c>
      <c r="E40" s="2" t="str">
        <f ca="1">IFERROR(__xludf.DUMMYFUNCTION("""COMPUTED_VALUE"""),"NJ")</f>
        <v>NJ</v>
      </c>
      <c r="F40" s="4" t="str">
        <f ca="1">IFERROR(__xludf.DUMMYFUNCTION("""COMPUTED_VALUE"""),"08854")</f>
        <v>08854</v>
      </c>
      <c r="G40" s="2"/>
      <c r="H40" s="2"/>
      <c r="I40" s="2"/>
    </row>
    <row r="41" spans="1:9" ht="13" x14ac:dyDescent="0.3">
      <c r="A41" s="2" t="str">
        <f ca="1">IFERROR(__xludf.DUMMYFUNCTION("""COMPUTED_VALUE"""),"ARBEE ASSOCIATES-NJ")</f>
        <v>ARBEE ASSOCIATES-NJ</v>
      </c>
      <c r="B41" s="3"/>
      <c r="C41" s="2" t="str">
        <f ca="1">IFERROR(__xludf.DUMMYFUNCTION("""COMPUTED_VALUE"""),"*1531 S WASHINGTON AVE")</f>
        <v>*1531 S WASHINGTON AVE</v>
      </c>
      <c r="D41" s="2" t="str">
        <f ca="1">IFERROR(__xludf.DUMMYFUNCTION("""COMPUTED_VALUE"""),"PISCATAWAY")</f>
        <v>PISCATAWAY</v>
      </c>
      <c r="E41" s="2" t="str">
        <f ca="1">IFERROR(__xludf.DUMMYFUNCTION("""COMPUTED_VALUE"""),"NJ")</f>
        <v>NJ</v>
      </c>
      <c r="F41" s="4" t="str">
        <f ca="1">IFERROR(__xludf.DUMMYFUNCTION("""COMPUTED_VALUE"""),"08854")</f>
        <v>08854</v>
      </c>
      <c r="G41" s="2"/>
      <c r="H41" s="2"/>
      <c r="I41" s="2"/>
    </row>
    <row r="42" spans="1:9" ht="13" x14ac:dyDescent="0.3">
      <c r="A42" s="2" t="str">
        <f ca="1">IFERROR(__xludf.DUMMYFUNCTION("""COMPUTED_VALUE"""),"ARENSON OFFICE FURNISHINGS-NJ")</f>
        <v>ARENSON OFFICE FURNISHINGS-NJ</v>
      </c>
      <c r="B42" s="3"/>
      <c r="C42" s="2" t="str">
        <f ca="1">IFERROR(__xludf.DUMMYFUNCTION("""COMPUTED_VALUE"""),"*1115 BROADWAY 6TH FL")</f>
        <v>*1115 BROADWAY 6TH FL</v>
      </c>
      <c r="D42" s="2" t="str">
        <f ca="1">IFERROR(__xludf.DUMMYFUNCTION("""COMPUTED_VALUE"""),"NEW YORK")</f>
        <v>NEW YORK</v>
      </c>
      <c r="E42" s="2" t="str">
        <f ca="1">IFERROR(__xludf.DUMMYFUNCTION("""COMPUTED_VALUE"""),"NY")</f>
        <v>NY</v>
      </c>
      <c r="F42" s="4" t="str">
        <f ca="1">IFERROR(__xludf.DUMMYFUNCTION("""COMPUTED_VALUE"""),"10010")</f>
        <v>10010</v>
      </c>
      <c r="G42" s="2"/>
      <c r="H42" s="2"/>
      <c r="I42" s="2"/>
    </row>
    <row r="43" spans="1:9" ht="13" x14ac:dyDescent="0.3">
      <c r="A43" s="2" t="str">
        <f ca="1">IFERROR(__xludf.DUMMYFUNCTION("""COMPUTED_VALUE"""),"ARENSON OFFICE FURNISHINGS-NY")</f>
        <v>ARENSON OFFICE FURNISHINGS-NY</v>
      </c>
      <c r="B43" s="3"/>
      <c r="C43" s="2" t="str">
        <f ca="1">IFERROR(__xludf.DUMMYFUNCTION("""COMPUTED_VALUE"""),"*1115 BROADWAY 6TH FL")</f>
        <v>*1115 BROADWAY 6TH FL</v>
      </c>
      <c r="D43" s="2" t="str">
        <f ca="1">IFERROR(__xludf.DUMMYFUNCTION("""COMPUTED_VALUE"""),"NEW YORK")</f>
        <v>NEW YORK</v>
      </c>
      <c r="E43" s="2" t="str">
        <f ca="1">IFERROR(__xludf.DUMMYFUNCTION("""COMPUTED_VALUE"""),"NY")</f>
        <v>NY</v>
      </c>
      <c r="F43" s="4" t="str">
        <f ca="1">IFERROR(__xludf.DUMMYFUNCTION("""COMPUTED_VALUE"""),"10010")</f>
        <v>10010</v>
      </c>
      <c r="G43" s="2"/>
      <c r="H43" s="2"/>
      <c r="I43" s="2"/>
    </row>
    <row r="44" spans="1:9" ht="13" x14ac:dyDescent="0.3">
      <c r="A44" s="2" t="str">
        <f ca="1">IFERROR(__xludf.DUMMYFUNCTION("""COMPUTED_VALUE"""),"ARENSON OFFICE FURNISHINGS-STAMFORD")</f>
        <v>ARENSON OFFICE FURNISHINGS-STAMFORD</v>
      </c>
      <c r="B44" s="3"/>
      <c r="C44" s="2" t="str">
        <f ca="1">IFERROR(__xludf.DUMMYFUNCTION("""COMPUTED_VALUE"""),"*1115 BROADWAY 6TH FL")</f>
        <v>*1115 BROADWAY 6TH FL</v>
      </c>
      <c r="D44" s="2" t="str">
        <f ca="1">IFERROR(__xludf.DUMMYFUNCTION("""COMPUTED_VALUE"""),"NEW YORK")</f>
        <v>NEW YORK</v>
      </c>
      <c r="E44" s="2" t="str">
        <f ca="1">IFERROR(__xludf.DUMMYFUNCTION("""COMPUTED_VALUE"""),"NY")</f>
        <v>NY</v>
      </c>
      <c r="F44" s="4" t="str">
        <f ca="1">IFERROR(__xludf.DUMMYFUNCTION("""COMPUTED_VALUE"""),"10010")</f>
        <v>10010</v>
      </c>
      <c r="G44" s="2"/>
      <c r="H44" s="2"/>
      <c r="I44" s="2"/>
    </row>
    <row r="45" spans="1:9" ht="13" x14ac:dyDescent="0.3">
      <c r="A45" s="2" t="str">
        <f ca="1">IFERROR(__xludf.DUMMYFUNCTION("""COMPUTED_VALUE"""),"ARNOLD &amp; ASSOCIATES INTERIORS INC")</f>
        <v>ARNOLD &amp; ASSOCIATES INTERIORS INC</v>
      </c>
      <c r="B45" s="3" t="str">
        <f ca="1">IFERROR(__xludf.DUMMYFUNCTION("""COMPUTED_VALUE"""),"WBENC")</f>
        <v>WBENC</v>
      </c>
      <c r="C45" s="2" t="str">
        <f ca="1">IFERROR(__xludf.DUMMYFUNCTION("""COMPUTED_VALUE"""),"*3707 GOVERNMENT ST")</f>
        <v>*3707 GOVERNMENT ST</v>
      </c>
      <c r="D45" s="2" t="str">
        <f ca="1">IFERROR(__xludf.DUMMYFUNCTION("""COMPUTED_VALUE"""),"BATON ROUGE")</f>
        <v>BATON ROUGE</v>
      </c>
      <c r="E45" s="2" t="str">
        <f ca="1">IFERROR(__xludf.DUMMYFUNCTION("""COMPUTED_VALUE"""),"LA")</f>
        <v>LA</v>
      </c>
      <c r="F45" s="4" t="str">
        <f ca="1">IFERROR(__xludf.DUMMYFUNCTION("""COMPUTED_VALUE"""),"70806-5723")</f>
        <v>70806-5723</v>
      </c>
      <c r="G45" s="2"/>
      <c r="H45" s="2"/>
      <c r="I45" s="2"/>
    </row>
    <row r="46" spans="1:9" ht="13" x14ac:dyDescent="0.3">
      <c r="A46" s="2" t="str">
        <f ca="1">IFERROR(__xludf.DUMMYFUNCTION("""COMPUTED_VALUE"""),"ATMOSPHERE COMMERCIAL INTERIORS-MN")</f>
        <v>ATMOSPHERE COMMERCIAL INTERIORS-MN</v>
      </c>
      <c r="B46" s="3"/>
      <c r="C46" s="2" t="str">
        <f ca="1">IFERROR(__xludf.DUMMYFUNCTION("""COMPUTED_VALUE"""),"*81 S 9TH ST STE 350")</f>
        <v>*81 S 9TH ST STE 350</v>
      </c>
      <c r="D46" s="2" t="str">
        <f ca="1">IFERROR(__xludf.DUMMYFUNCTION("""COMPUTED_VALUE"""),"MINNEAPOLIS")</f>
        <v>MINNEAPOLIS</v>
      </c>
      <c r="E46" s="2" t="str">
        <f ca="1">IFERROR(__xludf.DUMMYFUNCTION("""COMPUTED_VALUE"""),"MN")</f>
        <v>MN</v>
      </c>
      <c r="F46" s="4" t="str">
        <f ca="1">IFERROR(__xludf.DUMMYFUNCTION("""COMPUTED_VALUE"""),"55402")</f>
        <v>55402</v>
      </c>
      <c r="G46" s="2"/>
      <c r="H46" s="2"/>
      <c r="I46" s="2"/>
    </row>
    <row r="47" spans="1:9" ht="13" x14ac:dyDescent="0.3">
      <c r="A47" s="2" t="str">
        <f ca="1">IFERROR(__xludf.DUMMYFUNCTION("""COMPUTED_VALUE"""),"AUSTIN BUSINESS FURNITURE")</f>
        <v>AUSTIN BUSINESS FURNITURE</v>
      </c>
      <c r="B47" s="3" t="str">
        <f ca="1">IFERROR(__xludf.DUMMYFUNCTION("""COMPUTED_VALUE"""),"TX HUB/WO")</f>
        <v>TX HUB/WO</v>
      </c>
      <c r="C47" s="2" t="str">
        <f ca="1">IFERROR(__xludf.DUMMYFUNCTION("""COMPUTED_VALUE"""),"*4030 W BRAKER LN  BLDG 1 STE 100")</f>
        <v>*4030 W BRAKER LN  BLDG 1 STE 100</v>
      </c>
      <c r="D47" s="2" t="str">
        <f ca="1">IFERROR(__xludf.DUMMYFUNCTION("""COMPUTED_VALUE"""),"AUSTIN")</f>
        <v>AUSTIN</v>
      </c>
      <c r="E47" s="2" t="str">
        <f ca="1">IFERROR(__xludf.DUMMYFUNCTION("""COMPUTED_VALUE"""),"TX")</f>
        <v>TX</v>
      </c>
      <c r="F47" s="4" t="str">
        <f ca="1">IFERROR(__xludf.DUMMYFUNCTION("""COMPUTED_VALUE"""),"78759")</f>
        <v>78759</v>
      </c>
      <c r="G47" s="2"/>
      <c r="H47" s="2"/>
      <c r="I47" s="2"/>
    </row>
    <row r="48" spans="1:9" ht="13" x14ac:dyDescent="0.3">
      <c r="A48" s="2" t="str">
        <f ca="1">IFERROR(__xludf.DUMMYFUNCTION("""COMPUTED_VALUE"""),"BA DESIGNS LLC")</f>
        <v>BA DESIGNS LLC</v>
      </c>
      <c r="B48" s="3"/>
      <c r="C48" s="2" t="str">
        <f ca="1">IFERROR(__xludf.DUMMYFUNCTION("""COMPUTED_VALUE"""),"*4119 SW SOUTHGATE DR")</f>
        <v>*4119 SW SOUTHGATE DR</v>
      </c>
      <c r="D48" s="2" t="str">
        <f ca="1">IFERROR(__xludf.DUMMYFUNCTION("""COMPUTED_VALUE"""),"TOPEKA")</f>
        <v>TOPEKA</v>
      </c>
      <c r="E48" s="2" t="str">
        <f ca="1">IFERROR(__xludf.DUMMYFUNCTION("""COMPUTED_VALUE"""),"KS")</f>
        <v>KS</v>
      </c>
      <c r="F48" s="4" t="str">
        <f ca="1">IFERROR(__xludf.DUMMYFUNCTION("""COMPUTED_VALUE"""),"66609")</f>
        <v>66609</v>
      </c>
      <c r="G48" s="2"/>
      <c r="H48" s="2"/>
      <c r="I48" s="2"/>
    </row>
    <row r="49" spans="1:9" ht="13" x14ac:dyDescent="0.3">
      <c r="A49" s="2" t="str">
        <f ca="1">IFERROR(__xludf.DUMMYFUNCTION("""COMPUTED_VALUE"""),"BARROWS")</f>
        <v>BARROWS</v>
      </c>
      <c r="B49" s="3"/>
      <c r="C49" s="2" t="str">
        <f ca="1">IFERROR(__xludf.DUMMYFUNCTION("""COMPUTED_VALUE"""),"*1302 ROCKLAND AVE NW")</f>
        <v>*1302 ROCKLAND AVE NW</v>
      </c>
      <c r="D49" s="2" t="str">
        <f ca="1">IFERROR(__xludf.DUMMYFUNCTION("""COMPUTED_VALUE"""),"ROANOKE")</f>
        <v>ROANOKE</v>
      </c>
      <c r="E49" s="2" t="str">
        <f ca="1">IFERROR(__xludf.DUMMYFUNCTION("""COMPUTED_VALUE"""),"VA")</f>
        <v>VA</v>
      </c>
      <c r="F49" s="4" t="str">
        <f ca="1">IFERROR(__xludf.DUMMYFUNCTION("""COMPUTED_VALUE"""),"24012")</f>
        <v>24012</v>
      </c>
      <c r="G49" s="2"/>
      <c r="H49" s="2"/>
      <c r="I49" s="2"/>
    </row>
    <row r="50" spans="1:9" ht="13" x14ac:dyDescent="0.3">
      <c r="A50" s="2" t="str">
        <f ca="1">IFERROR(__xludf.DUMMYFUNCTION("""COMPUTED_VALUE"""),"BELL YORKTOWN INC")</f>
        <v>BELL YORKTOWN INC</v>
      </c>
      <c r="B50" s="3"/>
      <c r="C50" s="2" t="str">
        <f ca="1">IFERROR(__xludf.DUMMYFUNCTION("""COMPUTED_VALUE"""),"*333 ADAMS ST")</f>
        <v>*333 ADAMS ST</v>
      </c>
      <c r="D50" s="2" t="str">
        <f ca="1">IFERROR(__xludf.DUMMYFUNCTION("""COMPUTED_VALUE"""),"BEDFORD HILLS")</f>
        <v>BEDFORD HILLS</v>
      </c>
      <c r="E50" s="2" t="str">
        <f ca="1">IFERROR(__xludf.DUMMYFUNCTION("""COMPUTED_VALUE"""),"NY")</f>
        <v>NY</v>
      </c>
      <c r="F50" s="4" t="str">
        <f ca="1">IFERROR(__xludf.DUMMYFUNCTION("""COMPUTED_VALUE"""),"10507")</f>
        <v>10507</v>
      </c>
      <c r="G50" s="2"/>
      <c r="H50" s="2"/>
      <c r="I50" s="2"/>
    </row>
    <row r="51" spans="1:9" ht="13" x14ac:dyDescent="0.3">
      <c r="A51" s="2" t="str">
        <f ca="1">IFERROR(__xludf.DUMMYFUNCTION("""COMPUTED_VALUE"""),"BELLIA OFFICE FURNITURE")</f>
        <v>BELLIA OFFICE FURNITURE</v>
      </c>
      <c r="B51" s="3"/>
      <c r="C51" s="2" t="str">
        <f ca="1">IFERROR(__xludf.DUMMYFUNCTION("""COMPUTED_VALUE"""),"*ATTN ACCOUNTING  1047 N BROAD ST")</f>
        <v>*ATTN ACCOUNTING  1047 N BROAD ST</v>
      </c>
      <c r="D51" s="2" t="str">
        <f ca="1">IFERROR(__xludf.DUMMYFUNCTION("""COMPUTED_VALUE"""),"WOODBURY")</f>
        <v>WOODBURY</v>
      </c>
      <c r="E51" s="2" t="str">
        <f ca="1">IFERROR(__xludf.DUMMYFUNCTION("""COMPUTED_VALUE"""),"NJ")</f>
        <v>NJ</v>
      </c>
      <c r="F51" s="4" t="str">
        <f ca="1">IFERROR(__xludf.DUMMYFUNCTION("""COMPUTED_VALUE"""),"08096")</f>
        <v>08096</v>
      </c>
      <c r="G51" s="2"/>
      <c r="H51" s="2"/>
      <c r="I51" s="2"/>
    </row>
    <row r="52" spans="1:9" ht="13" x14ac:dyDescent="0.3">
      <c r="A52" s="2" t="str">
        <f ca="1">IFERROR(__xludf.DUMMYFUNCTION("""COMPUTED_VALUE"""),"BENHAR OFFICE INTERIORS LLC")</f>
        <v>BENHAR OFFICE INTERIORS LLC</v>
      </c>
      <c r="B52" s="3"/>
      <c r="C52" s="2" t="str">
        <f ca="1">IFERROR(__xludf.DUMMYFUNCTION("""COMPUTED_VALUE"""),"*148 W 37TH ST 12TH FL")</f>
        <v>*148 W 37TH ST 12TH FL</v>
      </c>
      <c r="D52" s="2" t="str">
        <f ca="1">IFERROR(__xludf.DUMMYFUNCTION("""COMPUTED_VALUE"""),"NEW YORK")</f>
        <v>NEW YORK</v>
      </c>
      <c r="E52" s="2" t="str">
        <f ca="1">IFERROR(__xludf.DUMMYFUNCTION("""COMPUTED_VALUE"""),"NY")</f>
        <v>NY</v>
      </c>
      <c r="F52" s="4" t="str">
        <f ca="1">IFERROR(__xludf.DUMMYFUNCTION("""COMPUTED_VALUE"""),"10018")</f>
        <v>10018</v>
      </c>
      <c r="G52" s="2"/>
      <c r="H52" s="2"/>
      <c r="I52" s="2"/>
    </row>
    <row r="53" spans="1:9" ht="13" x14ac:dyDescent="0.3">
      <c r="A53" s="2" t="str">
        <f ca="1">IFERROR(__xludf.DUMMYFUNCTION("""COMPUTED_VALUE"""),"BFI-NEW YORK")</f>
        <v>BFI-NEW YORK</v>
      </c>
      <c r="B53" s="3" t="str">
        <f ca="1">IFERROR(__xludf.DUMMYFUNCTION("""COMPUTED_VALUE"""),"WBENC")</f>
        <v>WBENC</v>
      </c>
      <c r="C53" s="2" t="str">
        <f ca="1">IFERROR(__xludf.DUMMYFUNCTION("""COMPUTED_VALUE"""),"*133 RAHWAY AVE")</f>
        <v>*133 RAHWAY AVE</v>
      </c>
      <c r="D53" s="2" t="str">
        <f ca="1">IFERROR(__xludf.DUMMYFUNCTION("""COMPUTED_VALUE"""),"ELIZABETH")</f>
        <v>ELIZABETH</v>
      </c>
      <c r="E53" s="2" t="str">
        <f ca="1">IFERROR(__xludf.DUMMYFUNCTION("""COMPUTED_VALUE"""),"NJ")</f>
        <v>NJ</v>
      </c>
      <c r="F53" s="4" t="str">
        <f ca="1">IFERROR(__xludf.DUMMYFUNCTION("""COMPUTED_VALUE"""),"07202")</f>
        <v>07202</v>
      </c>
      <c r="G53" s="2"/>
      <c r="H53" s="2"/>
      <c r="I53" s="2"/>
    </row>
    <row r="54" spans="1:9" ht="13" x14ac:dyDescent="0.3">
      <c r="A54" s="2" t="str">
        <f ca="1">IFERROR(__xludf.DUMMYFUNCTION("""COMPUTED_VALUE"""),"BFI-PARSIPPANY NJ")</f>
        <v>BFI-PARSIPPANY NJ</v>
      </c>
      <c r="B54" s="3"/>
      <c r="C54" s="2" t="str">
        <f ca="1">IFERROR(__xludf.DUMMYFUNCTION("""COMPUTED_VALUE"""),"*133 RAHWAY AVE")</f>
        <v>*133 RAHWAY AVE</v>
      </c>
      <c r="D54" s="2" t="str">
        <f ca="1">IFERROR(__xludf.DUMMYFUNCTION("""COMPUTED_VALUE"""),"ELIZABETH")</f>
        <v>ELIZABETH</v>
      </c>
      <c r="E54" s="2" t="str">
        <f ca="1">IFERROR(__xludf.DUMMYFUNCTION("""COMPUTED_VALUE"""),"NJ")</f>
        <v>NJ</v>
      </c>
      <c r="F54" s="4" t="str">
        <f ca="1">IFERROR(__xludf.DUMMYFUNCTION("""COMPUTED_VALUE"""),"07202")</f>
        <v>07202</v>
      </c>
      <c r="G54" s="2"/>
      <c r="H54" s="2"/>
      <c r="I54" s="2"/>
    </row>
    <row r="55" spans="1:9" ht="13" x14ac:dyDescent="0.3">
      <c r="A55" s="2" t="str">
        <f ca="1">IFERROR(__xludf.DUMMYFUNCTION("""COMPUTED_VALUE"""),"BIALEK ENVIRONMENTS")</f>
        <v>BIALEK ENVIRONMENTS</v>
      </c>
      <c r="B55" s="3"/>
      <c r="C55" s="2" t="str">
        <f ca="1">IFERROR(__xludf.DUMMYFUNCTION("""COMPUTED_VALUE"""),"*530 GAITHER RD STE 300")</f>
        <v>*530 GAITHER RD STE 300</v>
      </c>
      <c r="D55" s="2" t="str">
        <f ca="1">IFERROR(__xludf.DUMMYFUNCTION("""COMPUTED_VALUE"""),"ROCKVILLE")</f>
        <v>ROCKVILLE</v>
      </c>
      <c r="E55" s="2" t="str">
        <f ca="1">IFERROR(__xludf.DUMMYFUNCTION("""COMPUTED_VALUE"""),"MD")</f>
        <v>MD</v>
      </c>
      <c r="F55" s="4" t="str">
        <f ca="1">IFERROR(__xludf.DUMMYFUNCTION("""COMPUTED_VALUE"""),"20850-1161")</f>
        <v>20850-1161</v>
      </c>
      <c r="G55" s="2"/>
      <c r="H55" s="2"/>
      <c r="I55" s="2"/>
    </row>
    <row r="56" spans="1:9" ht="13" x14ac:dyDescent="0.3">
      <c r="A56" s="2" t="str">
        <f ca="1">IFERROR(__xludf.DUMMYFUNCTION("""COMPUTED_VALUE"""),"BKM OFFICEWORKS")</f>
        <v>BKM OFFICEWORKS</v>
      </c>
      <c r="B56" s="3"/>
      <c r="C56" s="2" t="str">
        <f ca="1">IFERROR(__xludf.DUMMYFUNCTION("""COMPUTED_VALUE"""),"*4780 EASTGATE MALL  STE 100")</f>
        <v>*4780 EASTGATE MALL  STE 100</v>
      </c>
      <c r="D56" s="2" t="str">
        <f ca="1">IFERROR(__xludf.DUMMYFUNCTION("""COMPUTED_VALUE"""),"SAN DIEGO")</f>
        <v>SAN DIEGO</v>
      </c>
      <c r="E56" s="2" t="str">
        <f ca="1">IFERROR(__xludf.DUMMYFUNCTION("""COMPUTED_VALUE"""),"CA")</f>
        <v>CA</v>
      </c>
      <c r="F56" s="4" t="str">
        <f ca="1">IFERROR(__xludf.DUMMYFUNCTION("""COMPUTED_VALUE"""),"92121")</f>
        <v>92121</v>
      </c>
      <c r="G56" s="2"/>
      <c r="H56" s="2"/>
      <c r="I56" s="2"/>
    </row>
    <row r="57" spans="1:9" ht="13" x14ac:dyDescent="0.3">
      <c r="A57" s="2" t="str">
        <f ca="1">IFERROR(__xludf.DUMMYFUNCTION("""COMPUTED_VALUE"""),"BKM TOTAL OFFICE OF TX LP")</f>
        <v>BKM TOTAL OFFICE OF TX LP</v>
      </c>
      <c r="B57" s="3"/>
      <c r="C57" s="2" t="str">
        <f ca="1">IFERROR(__xludf.DUMMYFUNCTION("""COMPUTED_VALUE"""),"*9755 CLIFFORD DR STE 100")</f>
        <v>*9755 CLIFFORD DR STE 100</v>
      </c>
      <c r="D57" s="2" t="str">
        <f ca="1">IFERROR(__xludf.DUMMYFUNCTION("""COMPUTED_VALUE"""),"DALLAS")</f>
        <v>DALLAS</v>
      </c>
      <c r="E57" s="2" t="str">
        <f ca="1">IFERROR(__xludf.DUMMYFUNCTION("""COMPUTED_VALUE"""),"TX")</f>
        <v>TX</v>
      </c>
      <c r="F57" s="4" t="str">
        <f ca="1">IFERROR(__xludf.DUMMYFUNCTION("""COMPUTED_VALUE"""),"75220")</f>
        <v>75220</v>
      </c>
      <c r="G57" s="2"/>
      <c r="H57" s="2"/>
      <c r="I57" s="2"/>
    </row>
    <row r="58" spans="1:9" ht="13" x14ac:dyDescent="0.3">
      <c r="A58" s="2" t="str">
        <f ca="1">IFERROR(__xludf.DUMMYFUNCTION("""COMPUTED_VALUE"""),"BMC OFFICE FURNITURE")</f>
        <v>BMC OFFICE FURNITURE</v>
      </c>
      <c r="B58" s="3"/>
      <c r="C58" s="2" t="str">
        <f ca="1">IFERROR(__xludf.DUMMYFUNCTION("""COMPUTED_VALUE"""),"*320 E GIBSON ST")</f>
        <v>*320 E GIBSON ST</v>
      </c>
      <c r="D58" s="2" t="str">
        <f ca="1">IFERROR(__xludf.DUMMYFUNCTION("""COMPUTED_VALUE"""),"SCRANTON")</f>
        <v>SCRANTON</v>
      </c>
      <c r="E58" s="2" t="str">
        <f ca="1">IFERROR(__xludf.DUMMYFUNCTION("""COMPUTED_VALUE"""),"PA")</f>
        <v>PA</v>
      </c>
      <c r="F58" s="4" t="str">
        <f ca="1">IFERROR(__xludf.DUMMYFUNCTION("""COMPUTED_VALUE"""),"18509")</f>
        <v>18509</v>
      </c>
      <c r="G58" s="2"/>
      <c r="H58" s="2"/>
      <c r="I58" s="2"/>
    </row>
    <row r="59" spans="1:9" ht="13" x14ac:dyDescent="0.3">
      <c r="A59" s="2" t="str">
        <f ca="1">IFERROR(__xludf.DUMMYFUNCTION("""COMPUTED_VALUE"""),"BOLD OFFICE SOLUTIONS")</f>
        <v>BOLD OFFICE SOLUTIONS</v>
      </c>
      <c r="B59" s="3"/>
      <c r="C59" s="2" t="str">
        <f ca="1">IFERROR(__xludf.DUMMYFUNCTION("""COMPUTED_VALUE"""),"*4526 F ST")</f>
        <v>*4526 F ST</v>
      </c>
      <c r="D59" s="2" t="str">
        <f ca="1">IFERROR(__xludf.DUMMYFUNCTION("""COMPUTED_VALUE"""),"OMAHA")</f>
        <v>OMAHA</v>
      </c>
      <c r="E59" s="2" t="str">
        <f ca="1">IFERROR(__xludf.DUMMYFUNCTION("""COMPUTED_VALUE"""),"NE")</f>
        <v>NE</v>
      </c>
      <c r="F59" s="4" t="str">
        <f ca="1">IFERROR(__xludf.DUMMYFUNCTION("""COMPUTED_VALUE"""),"68117")</f>
        <v>68117</v>
      </c>
      <c r="G59" s="2"/>
      <c r="H59" s="2"/>
      <c r="I59" s="2"/>
    </row>
    <row r="60" spans="1:9" ht="13" x14ac:dyDescent="0.3">
      <c r="A60" s="2" t="str">
        <f ca="1">IFERROR(__xludf.DUMMYFUNCTION("""COMPUTED_VALUE"""),"BORDEN OFFICE EQUIPMENT COMPANY")</f>
        <v>BORDEN OFFICE EQUIPMENT COMPANY</v>
      </c>
      <c r="B60" s="3"/>
      <c r="C60" s="2" t="str">
        <f ca="1">IFERROR(__xludf.DUMMYFUNCTION("""COMPUTED_VALUE"""),"*141 N 5TH ST")</f>
        <v>*141 N 5TH ST</v>
      </c>
      <c r="D60" s="2" t="str">
        <f ca="1">IFERROR(__xludf.DUMMYFUNCTION("""COMPUTED_VALUE"""),"STEUBENVILLE")</f>
        <v>STEUBENVILLE</v>
      </c>
      <c r="E60" s="2" t="str">
        <f ca="1">IFERROR(__xludf.DUMMYFUNCTION("""COMPUTED_VALUE"""),"OH")</f>
        <v>OH</v>
      </c>
      <c r="F60" s="4" t="str">
        <f ca="1">IFERROR(__xludf.DUMMYFUNCTION("""COMPUTED_VALUE"""),"43952")</f>
        <v>43952</v>
      </c>
      <c r="G60" s="2"/>
      <c r="H60" s="2"/>
      <c r="I60" s="2"/>
    </row>
    <row r="61" spans="1:9" ht="13" x14ac:dyDescent="0.3">
      <c r="A61" s="2" t="str">
        <f ca="1">IFERROR(__xludf.DUMMYFUNCTION("""COMPUTED_VALUE"""),"BOS TAMPA (FKA FLORIDA BUS INTERIORS)")</f>
        <v>BOS TAMPA (FKA FLORIDA BUS INTERIORS)</v>
      </c>
      <c r="B61" s="3"/>
      <c r="C61" s="2" t="str">
        <f ca="1">IFERROR(__xludf.DUMMYFUNCTION("""COMPUTED_VALUE"""),"*1600 E 8TH AVE STE C-201")</f>
        <v>*1600 E 8TH AVE STE C-201</v>
      </c>
      <c r="D61" s="2" t="str">
        <f ca="1">IFERROR(__xludf.DUMMYFUNCTION("""COMPUTED_VALUE"""),"TAMPA")</f>
        <v>TAMPA</v>
      </c>
      <c r="E61" s="2" t="str">
        <f ca="1">IFERROR(__xludf.DUMMYFUNCTION("""COMPUTED_VALUE"""),"FL")</f>
        <v>FL</v>
      </c>
      <c r="F61" s="4" t="str">
        <f ca="1">IFERROR(__xludf.DUMMYFUNCTION("""COMPUTED_VALUE"""),"33605")</f>
        <v>33605</v>
      </c>
      <c r="G61" s="2"/>
      <c r="H61" s="2"/>
      <c r="I61" s="2"/>
    </row>
    <row r="62" spans="1:9" ht="13" x14ac:dyDescent="0.3">
      <c r="A62" s="2" t="str">
        <f ca="1">IFERROR(__xludf.DUMMYFUNCTION("""COMPUTED_VALUE"""),"BRENNANS OFFICE INTERIORS INC")</f>
        <v>BRENNANS OFFICE INTERIORS INC</v>
      </c>
      <c r="B62" s="3"/>
      <c r="C62" s="2" t="str">
        <f ca="1">IFERROR(__xludf.DUMMYFUNCTION("""COMPUTED_VALUE"""),"*1045 ANDREW DR STE A2")</f>
        <v>*1045 ANDREW DR STE A2</v>
      </c>
      <c r="D62" s="2" t="str">
        <f ca="1">IFERROR(__xludf.DUMMYFUNCTION("""COMPUTED_VALUE"""),"WEST CHESTER")</f>
        <v>WEST CHESTER</v>
      </c>
      <c r="E62" s="2" t="str">
        <f ca="1">IFERROR(__xludf.DUMMYFUNCTION("""COMPUTED_VALUE"""),"PA")</f>
        <v>PA</v>
      </c>
      <c r="F62" s="4" t="str">
        <f ca="1">IFERROR(__xludf.DUMMYFUNCTION("""COMPUTED_VALUE"""),"19380")</f>
        <v>19380</v>
      </c>
      <c r="G62" s="2"/>
      <c r="H62" s="2"/>
      <c r="I62" s="2"/>
    </row>
    <row r="63" spans="1:9" ht="13" x14ac:dyDescent="0.3">
      <c r="A63" s="2" t="str">
        <f ca="1">IFERROR(__xludf.DUMMYFUNCTION("""COMPUTED_VALUE"""),"BUFFALO OFFICE INTERIORS INC")</f>
        <v>BUFFALO OFFICE INTERIORS INC</v>
      </c>
      <c r="B63" s="3"/>
      <c r="C63" s="2" t="str">
        <f ca="1">IFERROR(__xludf.DUMMYFUNCTION("""COMPUTED_VALUE"""),"*1418 NIAGARA ST")</f>
        <v>*1418 NIAGARA ST</v>
      </c>
      <c r="D63" s="2" t="str">
        <f ca="1">IFERROR(__xludf.DUMMYFUNCTION("""COMPUTED_VALUE"""),"BUFFALO")</f>
        <v>BUFFALO</v>
      </c>
      <c r="E63" s="2" t="str">
        <f ca="1">IFERROR(__xludf.DUMMYFUNCTION("""COMPUTED_VALUE"""),"NY")</f>
        <v>NY</v>
      </c>
      <c r="F63" s="4" t="str">
        <f ca="1">IFERROR(__xludf.DUMMYFUNCTION("""COMPUTED_VALUE"""),"14213")</f>
        <v>14213</v>
      </c>
      <c r="G63" s="2"/>
      <c r="H63" s="2"/>
      <c r="I63" s="2"/>
    </row>
    <row r="64" spans="1:9" ht="13" x14ac:dyDescent="0.3">
      <c r="A64" s="2" t="str">
        <f ca="1">IFERROR(__xludf.DUMMYFUNCTION("""COMPUTED_VALUE"""),"BUILDING SERVICE INC")</f>
        <v>BUILDING SERVICE INC</v>
      </c>
      <c r="B64" s="3"/>
      <c r="C64" s="2" t="str">
        <f ca="1">IFERROR(__xludf.DUMMYFUNCTION("""COMPUTED_VALUE"""),"*W222 N630 CHEANEY RD")</f>
        <v>*W222 N630 CHEANEY RD</v>
      </c>
      <c r="D64" s="2" t="str">
        <f ca="1">IFERROR(__xludf.DUMMYFUNCTION("""COMPUTED_VALUE"""),"WAUKESHA")</f>
        <v>WAUKESHA</v>
      </c>
      <c r="E64" s="2" t="str">
        <f ca="1">IFERROR(__xludf.DUMMYFUNCTION("""COMPUTED_VALUE"""),"WI")</f>
        <v>WI</v>
      </c>
      <c r="F64" s="4" t="str">
        <f ca="1">IFERROR(__xludf.DUMMYFUNCTION("""COMPUTED_VALUE"""),"53186-1697")</f>
        <v>53186-1697</v>
      </c>
      <c r="G64" s="2"/>
      <c r="H64" s="2"/>
      <c r="I64" s="2"/>
    </row>
    <row r="65" spans="1:9" ht="26" x14ac:dyDescent="0.3">
      <c r="A65" s="2" t="str">
        <f ca="1">IFERROR(__xludf.DUMMYFUNCTION("""COMPUTED_VALUE"""),"BUILT FOR DREAMS INC (BFD Interiors)")</f>
        <v>BUILT FOR DREAMS INC (BFD Interiors)</v>
      </c>
      <c r="B65" s="3" t="str">
        <f ca="1">IFERROR(__xludf.DUMMYFUNCTION("""COMPUTED_VALUE"""),"(HUB, Woman owned)")</f>
        <v>(HUB, Woman owned)</v>
      </c>
      <c r="C65" s="2" t="str">
        <f ca="1">IFERROR(__xludf.DUMMYFUNCTION("""COMPUTED_VALUE"""),"*3416 JOLIET AVE")</f>
        <v>*3416 JOLIET AVE</v>
      </c>
      <c r="D65" s="2" t="str">
        <f ca="1">IFERROR(__xludf.DUMMYFUNCTION("""COMPUTED_VALUE"""),"LUBBOCK")</f>
        <v>LUBBOCK</v>
      </c>
      <c r="E65" s="2" t="str">
        <f ca="1">IFERROR(__xludf.DUMMYFUNCTION("""COMPUTED_VALUE"""),"TX")</f>
        <v>TX</v>
      </c>
      <c r="F65" s="4" t="str">
        <f ca="1">IFERROR(__xludf.DUMMYFUNCTION("""COMPUTED_VALUE"""),"79413")</f>
        <v>79413</v>
      </c>
      <c r="G65" s="2"/>
      <c r="H65" s="2"/>
      <c r="I65" s="2"/>
    </row>
    <row r="66" spans="1:9" ht="13" x14ac:dyDescent="0.3">
      <c r="A66" s="2" t="str">
        <f ca="1">IFERROR(__xludf.DUMMYFUNCTION("""COMPUTED_VALUE"""),"BUSINESS INTERIORS - BIRMINGHAM")</f>
        <v>BUSINESS INTERIORS - BIRMINGHAM</v>
      </c>
      <c r="B66" s="3"/>
      <c r="C66" s="2" t="str">
        <f ca="1">IFERROR(__xludf.DUMMYFUNCTION("""COMPUTED_VALUE"""),"*2309 5TH AVE S")</f>
        <v>*2309 5TH AVE S</v>
      </c>
      <c r="D66" s="2" t="str">
        <f ca="1">IFERROR(__xludf.DUMMYFUNCTION("""COMPUTED_VALUE"""),"BIRMINGHAM")</f>
        <v>BIRMINGHAM</v>
      </c>
      <c r="E66" s="2" t="str">
        <f ca="1">IFERROR(__xludf.DUMMYFUNCTION("""COMPUTED_VALUE"""),"AL")</f>
        <v>AL</v>
      </c>
      <c r="F66" s="4" t="str">
        <f ca="1">IFERROR(__xludf.DUMMYFUNCTION("""COMPUTED_VALUE"""),"35233")</f>
        <v>35233</v>
      </c>
      <c r="G66" s="2"/>
      <c r="H66" s="2"/>
      <c r="I66" s="2"/>
    </row>
    <row r="67" spans="1:9" ht="13" x14ac:dyDescent="0.3">
      <c r="A67" s="2" t="str">
        <f ca="1">IFERROR(__xludf.DUMMYFUNCTION("""COMPUTED_VALUE"""),"BUSINESS INTERIORS - IRVING")</f>
        <v>BUSINESS INTERIORS - IRVING</v>
      </c>
      <c r="B67" s="3" t="str">
        <f ca="1">IFERROR(__xludf.DUMMYFUNCTION("""COMPUTED_VALUE"""),"WBE")</f>
        <v>WBE</v>
      </c>
      <c r="C67" s="2" t="str">
        <f ca="1">IFERROR(__xludf.DUMMYFUNCTION("""COMPUTED_VALUE"""),"*1111 VALLEY VIEW LN")</f>
        <v>*1111 VALLEY VIEW LN</v>
      </c>
      <c r="D67" s="2" t="str">
        <f ca="1">IFERROR(__xludf.DUMMYFUNCTION("""COMPUTED_VALUE"""),"IRVING")</f>
        <v>IRVING</v>
      </c>
      <c r="E67" s="2" t="str">
        <f ca="1">IFERROR(__xludf.DUMMYFUNCTION("""COMPUTED_VALUE"""),"TX")</f>
        <v>TX</v>
      </c>
      <c r="F67" s="4" t="str">
        <f ca="1">IFERROR(__xludf.DUMMYFUNCTION("""COMPUTED_VALUE"""),"75061")</f>
        <v>75061</v>
      </c>
      <c r="G67" s="2"/>
      <c r="H67" s="2"/>
      <c r="I67" s="2"/>
    </row>
    <row r="68" spans="1:9" ht="13" x14ac:dyDescent="0.3">
      <c r="A68" s="2" t="str">
        <f ca="1">IFERROR(__xludf.DUMMYFUNCTION("""COMPUTED_VALUE"""),"BUSINESS INTERIORS - JACKSON")</f>
        <v>BUSINESS INTERIORS - JACKSON</v>
      </c>
      <c r="B68" s="3"/>
      <c r="C68" s="2" t="str">
        <f ca="1">IFERROR(__xludf.DUMMYFUNCTION("""COMPUTED_VALUE"""),"*146 MARKET RDG DR")</f>
        <v>*146 MARKET RDG DR</v>
      </c>
      <c r="D68" s="2" t="str">
        <f ca="1">IFERROR(__xludf.DUMMYFUNCTION("""COMPUTED_VALUE"""),"RIDGELAND")</f>
        <v>RIDGELAND</v>
      </c>
      <c r="E68" s="2" t="str">
        <f ca="1">IFERROR(__xludf.DUMMYFUNCTION("""COMPUTED_VALUE"""),"MS")</f>
        <v>MS</v>
      </c>
      <c r="F68" s="4" t="str">
        <f ca="1">IFERROR(__xludf.DUMMYFUNCTION("""COMPUTED_VALUE"""),"39157")</f>
        <v>39157</v>
      </c>
      <c r="G68" s="2"/>
      <c r="H68" s="2"/>
      <c r="I68" s="2"/>
    </row>
    <row r="69" spans="1:9" ht="13" x14ac:dyDescent="0.3">
      <c r="A69" s="2" t="str">
        <f ca="1">IFERROR(__xludf.DUMMYFUNCTION("""COMPUTED_VALUE"""),"BUSINESS INTERIORS NORTHWEST (BINW)-ALASKA")</f>
        <v>BUSINESS INTERIORS NORTHWEST (BINW)-ALASKA</v>
      </c>
      <c r="B69" s="3"/>
      <c r="C69" s="2" t="str">
        <f ca="1">IFERROR(__xludf.DUMMYFUNCTION("""COMPUTED_VALUE"""),"*1707 DOCK ST")</f>
        <v>*1707 DOCK ST</v>
      </c>
      <c r="D69" s="2" t="str">
        <f ca="1">IFERROR(__xludf.DUMMYFUNCTION("""COMPUTED_VALUE"""),"TACOMA")</f>
        <v>TACOMA</v>
      </c>
      <c r="E69" s="2" t="str">
        <f ca="1">IFERROR(__xludf.DUMMYFUNCTION("""COMPUTED_VALUE"""),"WA")</f>
        <v>WA</v>
      </c>
      <c r="F69" s="4" t="str">
        <f ca="1">IFERROR(__xludf.DUMMYFUNCTION("""COMPUTED_VALUE"""),"98402")</f>
        <v>98402</v>
      </c>
      <c r="G69" s="2"/>
      <c r="H69" s="2"/>
      <c r="I69" s="2"/>
    </row>
    <row r="70" spans="1:9" ht="13" x14ac:dyDescent="0.3">
      <c r="A70" s="2" t="str">
        <f ca="1">IFERROR(__xludf.DUMMYFUNCTION("""COMPUTED_VALUE"""),"BUSINESS INTERIORS OF IDAHO INC")</f>
        <v>BUSINESS INTERIORS OF IDAHO INC</v>
      </c>
      <c r="B70" s="3" t="str">
        <f ca="1">IFERROR(__xludf.DUMMYFUNCTION("""COMPUTED_VALUE"""),"s")</f>
        <v>s</v>
      </c>
      <c r="C70" s="2" t="str">
        <f ca="1">IFERROR(__xludf.DUMMYFUNCTION("""COMPUTED_VALUE"""),"*176 S CAPITOL BLVD")</f>
        <v>*176 S CAPITOL BLVD</v>
      </c>
      <c r="D70" s="2" t="str">
        <f ca="1">IFERROR(__xludf.DUMMYFUNCTION("""COMPUTED_VALUE"""),"BOISE")</f>
        <v>BOISE</v>
      </c>
      <c r="E70" s="2" t="str">
        <f ca="1">IFERROR(__xludf.DUMMYFUNCTION("""COMPUTED_VALUE"""),"ID")</f>
        <v>ID</v>
      </c>
      <c r="F70" s="4" t="str">
        <f ca="1">IFERROR(__xludf.DUMMYFUNCTION("""COMPUTED_VALUE"""),"83702")</f>
        <v>83702</v>
      </c>
      <c r="G70" s="2"/>
      <c r="H70" s="2"/>
      <c r="I70" s="2"/>
    </row>
    <row r="71" spans="1:9" ht="13" x14ac:dyDescent="0.3">
      <c r="A71" s="2" t="str">
        <f ca="1">IFERROR(__xludf.DUMMYFUNCTION("""COMPUTED_VALUE"""),"BUSINESS PRODUCTS &amp; SERVICES INC")</f>
        <v>BUSINESS PRODUCTS &amp; SERVICES INC</v>
      </c>
      <c r="B71" s="3"/>
      <c r="C71" s="2" t="str">
        <f ca="1">IFERROR(__xludf.DUMMYFUNCTION("""COMPUTED_VALUE"""),"*1616 BASSETT AVE")</f>
        <v>*1616 BASSETT AVE</v>
      </c>
      <c r="D71" s="2" t="str">
        <f ca="1">IFERROR(__xludf.DUMMYFUNCTION("""COMPUTED_VALUE"""),"EL PASO")</f>
        <v>EL PASO</v>
      </c>
      <c r="E71" s="2" t="str">
        <f ca="1">IFERROR(__xludf.DUMMYFUNCTION("""COMPUTED_VALUE"""),"TX")</f>
        <v>TX</v>
      </c>
      <c r="F71" s="4" t="str">
        <f ca="1">IFERROR(__xludf.DUMMYFUNCTION("""COMPUTED_VALUE"""),"79901")</f>
        <v>79901</v>
      </c>
      <c r="G71" s="2"/>
      <c r="H71" s="2"/>
      <c r="I71" s="2"/>
    </row>
    <row r="72" spans="1:9" ht="13" x14ac:dyDescent="0.3">
      <c r="A72" s="2" t="str">
        <f ca="1">IFERROR(__xludf.DUMMYFUNCTION("""COMPUTED_VALUE"""),"CAL BENNETTS")</f>
        <v>CAL BENNETTS</v>
      </c>
      <c r="B72" s="3"/>
      <c r="C72" s="2" t="str">
        <f ca="1">IFERROR(__xludf.DUMMYFUNCTION("""COMPUTED_VALUE"""),"*615 N PLAZA DR")</f>
        <v>*615 N PLAZA DR</v>
      </c>
      <c r="D72" s="2" t="str">
        <f ca="1">IFERROR(__xludf.DUMMYFUNCTION("""COMPUTED_VALUE"""),"VISALIA")</f>
        <v>VISALIA</v>
      </c>
      <c r="E72" s="2" t="str">
        <f ca="1">IFERROR(__xludf.DUMMYFUNCTION("""COMPUTED_VALUE"""),"CA")</f>
        <v>CA</v>
      </c>
      <c r="F72" s="4" t="str">
        <f ca="1">IFERROR(__xludf.DUMMYFUNCTION("""COMPUTED_VALUE"""),"93291")</f>
        <v>93291</v>
      </c>
      <c r="G72" s="2"/>
      <c r="H72" s="2"/>
      <c r="I72" s="2"/>
    </row>
    <row r="73" spans="1:9" ht="13" x14ac:dyDescent="0.3">
      <c r="A73" s="2" t="str">
        <f ca="1">IFERROR(__xludf.DUMMYFUNCTION("""COMPUTED_VALUE"""),"CANFIELD BUSINESS INTERIORS INC")</f>
        <v>CANFIELD BUSINESS INTERIORS INC</v>
      </c>
      <c r="B73" s="3"/>
      <c r="C73" s="2" t="str">
        <f ca="1">IFERROR(__xludf.DUMMYFUNCTION("""COMPUTED_VALUE"""),"*402 W 9TH ST")</f>
        <v>*402 W 9TH ST</v>
      </c>
      <c r="D73" s="2" t="str">
        <f ca="1">IFERROR(__xludf.DUMMYFUNCTION("""COMPUTED_VALUE"""),"SIOUX FALLS")</f>
        <v>SIOUX FALLS</v>
      </c>
      <c r="E73" s="2" t="str">
        <f ca="1">IFERROR(__xludf.DUMMYFUNCTION("""COMPUTED_VALUE"""),"SD")</f>
        <v>SD</v>
      </c>
      <c r="F73" s="4" t="str">
        <f ca="1">IFERROR(__xludf.DUMMYFUNCTION("""COMPUTED_VALUE"""),"57104")</f>
        <v>57104</v>
      </c>
      <c r="G73" s="2"/>
      <c r="H73" s="2"/>
      <c r="I73" s="2"/>
    </row>
    <row r="74" spans="1:9" ht="13" x14ac:dyDescent="0.3">
      <c r="A74" s="2" t="str">
        <f ca="1">IFERROR(__xludf.DUMMYFUNCTION("""COMPUTED_VALUE"""),"CAPITAL OFFICE SYSTEMS-AK")</f>
        <v>CAPITAL OFFICE SYSTEMS-AK</v>
      </c>
      <c r="B74" s="3"/>
      <c r="C74" s="2" t="str">
        <f ca="1">IFERROR(__xludf.DUMMYFUNCTION("""COMPUTED_VALUE"""),"*1120 E 35TH AVE")</f>
        <v>*1120 E 35TH AVE</v>
      </c>
      <c r="D74" s="2" t="str">
        <f ca="1">IFERROR(__xludf.DUMMYFUNCTION("""COMPUTED_VALUE"""),"ANCHORAGE")</f>
        <v>ANCHORAGE</v>
      </c>
      <c r="E74" s="2" t="str">
        <f ca="1">IFERROR(__xludf.DUMMYFUNCTION("""COMPUTED_VALUE"""),"AK")</f>
        <v>AK</v>
      </c>
      <c r="F74" s="4" t="str">
        <f ca="1">IFERROR(__xludf.DUMMYFUNCTION("""COMPUTED_VALUE"""),"99508")</f>
        <v>99508</v>
      </c>
      <c r="G74" s="2"/>
      <c r="H74" s="2"/>
      <c r="I74" s="2"/>
    </row>
    <row r="75" spans="1:9" ht="13" x14ac:dyDescent="0.3">
      <c r="A75" s="2" t="str">
        <f ca="1">IFERROR(__xludf.DUMMYFUNCTION("""COMPUTED_VALUE"""),"CAROLINA BUSINESS INTERIORS-CLOTTE")</f>
        <v>CAROLINA BUSINESS INTERIORS-CLOTTE</v>
      </c>
      <c r="B75" s="3"/>
      <c r="C75" s="2" t="str">
        <f ca="1">IFERROR(__xludf.DUMMYFUNCTION("""COMPUTED_VALUE"""),"*4020 YANCEY RD")</f>
        <v>*4020 YANCEY RD</v>
      </c>
      <c r="D75" s="2" t="str">
        <f ca="1">IFERROR(__xludf.DUMMYFUNCTION("""COMPUTED_VALUE"""),"CHARLOTTE")</f>
        <v>CHARLOTTE</v>
      </c>
      <c r="E75" s="2" t="str">
        <f ca="1">IFERROR(__xludf.DUMMYFUNCTION("""COMPUTED_VALUE"""),"NC")</f>
        <v>NC</v>
      </c>
      <c r="F75" s="4" t="str">
        <f ca="1">IFERROR(__xludf.DUMMYFUNCTION("""COMPUTED_VALUE"""),"28217")</f>
        <v>28217</v>
      </c>
      <c r="G75" s="2"/>
      <c r="H75" s="2"/>
      <c r="I75" s="2"/>
    </row>
    <row r="76" spans="1:9" ht="13" x14ac:dyDescent="0.3">
      <c r="A76" s="2" t="str">
        <f ca="1">IFERROR(__xludf.DUMMYFUNCTION("""COMPUTED_VALUE"""),"CAROLINA BUSINESS INTERIORS-SC")</f>
        <v>CAROLINA BUSINESS INTERIORS-SC</v>
      </c>
      <c r="B76" s="3"/>
      <c r="C76" s="2" t="str">
        <f ca="1">IFERROR(__xludf.DUMMYFUNCTION("""COMPUTED_VALUE"""),"*4020 YANCEY RD")</f>
        <v>*4020 YANCEY RD</v>
      </c>
      <c r="D76" s="2" t="str">
        <f ca="1">IFERROR(__xludf.DUMMYFUNCTION("""COMPUTED_VALUE"""),"CHARLOTTE")</f>
        <v>CHARLOTTE</v>
      </c>
      <c r="E76" s="2" t="str">
        <f ca="1">IFERROR(__xludf.DUMMYFUNCTION("""COMPUTED_VALUE"""),"NC")</f>
        <v>NC</v>
      </c>
      <c r="F76" s="4" t="str">
        <f ca="1">IFERROR(__xludf.DUMMYFUNCTION("""COMPUTED_VALUE"""),"28217")</f>
        <v>28217</v>
      </c>
      <c r="G76" s="2"/>
      <c r="H76" s="2"/>
      <c r="I76" s="2"/>
    </row>
    <row r="77" spans="1:9" ht="13" x14ac:dyDescent="0.3">
      <c r="A77" s="2" t="str">
        <f ca="1">IFERROR(__xludf.DUMMYFUNCTION("""COMPUTED_VALUE"""),"CATALYST WORKPLACE ACTIVATION-SEATTLE")</f>
        <v>CATALYST WORKPLACE ACTIVATION-SEATTLE</v>
      </c>
      <c r="B77" s="3"/>
      <c r="C77" s="2" t="str">
        <f ca="1">IFERROR(__xludf.DUMMYFUNCTION("""COMPUTED_VALUE"""),"*10848 E MARGINAL WAY S")</f>
        <v>*10848 E MARGINAL WAY S</v>
      </c>
      <c r="D77" s="2" t="str">
        <f ca="1">IFERROR(__xludf.DUMMYFUNCTION("""COMPUTED_VALUE"""),"SEATTLE")</f>
        <v>SEATTLE</v>
      </c>
      <c r="E77" s="2" t="str">
        <f ca="1">IFERROR(__xludf.DUMMYFUNCTION("""COMPUTED_VALUE"""),"WA")</f>
        <v>WA</v>
      </c>
      <c r="F77" s="4" t="str">
        <f ca="1">IFERROR(__xludf.DUMMYFUNCTION("""COMPUTED_VALUE"""),"98168")</f>
        <v>98168</v>
      </c>
      <c r="G77" s="2"/>
      <c r="H77" s="2"/>
      <c r="I77" s="2"/>
    </row>
    <row r="78" spans="1:9" ht="13" x14ac:dyDescent="0.3">
      <c r="A78" s="2" t="str">
        <f ca="1">IFERROR(__xludf.DUMMYFUNCTION("""COMPUTED_VALUE"""),"CATALYST WORKPLACE ACTIVATION-TACOMA")</f>
        <v>CATALYST WORKPLACE ACTIVATION-TACOMA</v>
      </c>
      <c r="B78" s="3"/>
      <c r="C78" s="2" t="str">
        <f ca="1">IFERROR(__xludf.DUMMYFUNCTION("""COMPUTED_VALUE"""),"*1707 DOCK ST")</f>
        <v>*1707 DOCK ST</v>
      </c>
      <c r="D78" s="2" t="str">
        <f ca="1">IFERROR(__xludf.DUMMYFUNCTION("""COMPUTED_VALUE"""),"TACOMA")</f>
        <v>TACOMA</v>
      </c>
      <c r="E78" s="2" t="str">
        <f ca="1">IFERROR(__xludf.DUMMYFUNCTION("""COMPUTED_VALUE"""),"WA")</f>
        <v>WA</v>
      </c>
      <c r="F78" s="4" t="str">
        <f ca="1">IFERROR(__xludf.DUMMYFUNCTION("""COMPUTED_VALUE"""),"98402")</f>
        <v>98402</v>
      </c>
      <c r="G78" s="2"/>
      <c r="H78" s="2"/>
      <c r="I78" s="2"/>
    </row>
    <row r="79" spans="1:9" ht="13" x14ac:dyDescent="0.3">
      <c r="A79" s="2" t="str">
        <f ca="1">IFERROR(__xludf.DUMMYFUNCTION("""COMPUTED_VALUE"""),"CCG LLC")</f>
        <v>CCG LLC</v>
      </c>
      <c r="B79" s="3" t="str">
        <f ca="1">IFERROR(__xludf.DUMMYFUNCTION("""COMPUTED_VALUE"""),"WBE")</f>
        <v>WBE</v>
      </c>
      <c r="C79" s="2" t="str">
        <f ca="1">IFERROR(__xludf.DUMMYFUNCTION("""COMPUTED_VALUE"""),"*358 S RIO GRANDE")</f>
        <v>*358 S RIO GRANDE</v>
      </c>
      <c r="D79" s="2" t="str">
        <f ca="1">IFERROR(__xludf.DUMMYFUNCTION("""COMPUTED_VALUE"""),"SALT LAKE CITY")</f>
        <v>SALT LAKE CITY</v>
      </c>
      <c r="E79" s="2" t="str">
        <f ca="1">IFERROR(__xludf.DUMMYFUNCTION("""COMPUTED_VALUE"""),"UT")</f>
        <v>UT</v>
      </c>
      <c r="F79" s="4" t="str">
        <f ca="1">IFERROR(__xludf.DUMMYFUNCTION("""COMPUTED_VALUE"""),"84101")</f>
        <v>84101</v>
      </c>
      <c r="G79" s="2"/>
      <c r="H79" s="2"/>
      <c r="I79" s="2"/>
    </row>
    <row r="80" spans="1:9" ht="13" x14ac:dyDescent="0.3">
      <c r="A80" s="2" t="str">
        <f ca="1">IFERROR(__xludf.DUMMYFUNCTION("""COMPUTED_VALUE"""),"CFI-COMMERCIAL FURNITURE INTERIORS-NJ")</f>
        <v>CFI-COMMERCIAL FURNITURE INTERIORS-NJ</v>
      </c>
      <c r="B80" s="3" t="str">
        <f ca="1">IFERROR(__xludf.DUMMYFUNCTION("""COMPUTED_VALUE"""),"WO")</f>
        <v>WO</v>
      </c>
      <c r="C80" s="2" t="str">
        <f ca="1">IFERROR(__xludf.DUMMYFUNCTION("""COMPUTED_VALUE"""),"*1154 RTE 22 W")</f>
        <v>*1154 RTE 22 W</v>
      </c>
      <c r="D80" s="2" t="str">
        <f ca="1">IFERROR(__xludf.DUMMYFUNCTION("""COMPUTED_VALUE"""),"MOUNTAINSIDE")</f>
        <v>MOUNTAINSIDE</v>
      </c>
      <c r="E80" s="2" t="str">
        <f ca="1">IFERROR(__xludf.DUMMYFUNCTION("""COMPUTED_VALUE"""),"NJ")</f>
        <v>NJ</v>
      </c>
      <c r="F80" s="4" t="str">
        <f ca="1">IFERROR(__xludf.DUMMYFUNCTION("""COMPUTED_VALUE"""),"07092")</f>
        <v>07092</v>
      </c>
      <c r="G80" s="2"/>
      <c r="H80" s="2"/>
      <c r="I80" s="2"/>
    </row>
    <row r="81" spans="1:9" ht="13" x14ac:dyDescent="0.3">
      <c r="A81" s="2" t="str">
        <f ca="1">IFERROR(__xludf.DUMMYFUNCTION("""COMPUTED_VALUE"""),"CHANDLER BUSINESS INTERIORS INC")</f>
        <v>CHANDLER BUSINESS INTERIORS INC</v>
      </c>
      <c r="B81" s="3"/>
      <c r="C81" s="2" t="str">
        <f ca="1">IFERROR(__xludf.DUMMYFUNCTION("""COMPUTED_VALUE"""),"*144 EASTMONT AVE")</f>
        <v>*144 EASTMONT AVE</v>
      </c>
      <c r="D81" s="2" t="str">
        <f ca="1">IFERROR(__xludf.DUMMYFUNCTION("""COMPUTED_VALUE"""),"EAST WENATCHEE")</f>
        <v>EAST WENATCHEE</v>
      </c>
      <c r="E81" s="2" t="str">
        <f ca="1">IFERROR(__xludf.DUMMYFUNCTION("""COMPUTED_VALUE"""),"WA")</f>
        <v>WA</v>
      </c>
      <c r="F81" s="4" t="str">
        <f ca="1">IFERROR(__xludf.DUMMYFUNCTION("""COMPUTED_VALUE"""),"98802")</f>
        <v>98802</v>
      </c>
      <c r="G81" s="2"/>
      <c r="H81" s="2"/>
      <c r="I81" s="2"/>
    </row>
    <row r="82" spans="1:9" ht="13" x14ac:dyDescent="0.3">
      <c r="A82" s="2" t="str">
        <f ca="1">IFERROR(__xludf.DUMMYFUNCTION("""COMPUTED_VALUE"""),"CHRISTIANSON'S BUSINESS FURNITURE")</f>
        <v>CHRISTIANSON'S BUSINESS FURNITURE</v>
      </c>
      <c r="B82" s="3"/>
      <c r="C82" s="2" t="str">
        <f ca="1">IFERROR(__xludf.DUMMYFUNCTION("""COMPUTED_VALUE"""),"*2828 13TH AVENUE SOUTH")</f>
        <v>*2828 13TH AVENUE SOUTH</v>
      </c>
      <c r="D82" s="2" t="str">
        <f ca="1">IFERROR(__xludf.DUMMYFUNCTION("""COMPUTED_VALUE"""),"FARGO")</f>
        <v>FARGO</v>
      </c>
      <c r="E82" s="2" t="str">
        <f ca="1">IFERROR(__xludf.DUMMYFUNCTION("""COMPUTED_VALUE"""),"ND")</f>
        <v>ND</v>
      </c>
      <c r="F82" s="4" t="str">
        <f ca="1">IFERROR(__xludf.DUMMYFUNCTION("""COMPUTED_VALUE"""),"58103")</f>
        <v>58103</v>
      </c>
      <c r="G82" s="2"/>
      <c r="H82" s="2"/>
      <c r="I82" s="2"/>
    </row>
    <row r="83" spans="1:9" ht="13" x14ac:dyDescent="0.3">
      <c r="A83" s="2" t="str">
        <f ca="1">IFERROR(__xludf.DUMMYFUNCTION("""COMPUTED_VALUE"""),"CK OFFICE DESIGNS")</f>
        <v>CK OFFICE DESIGNS</v>
      </c>
      <c r="B83" s="3"/>
      <c r="C83" s="2" t="str">
        <f ca="1">IFERROR(__xludf.DUMMYFUNCTION("""COMPUTED_VALUE"""),"*5645 CORAL RIDGE DR #395")</f>
        <v>*5645 CORAL RIDGE DR #395</v>
      </c>
      <c r="D83" s="2" t="str">
        <f ca="1">IFERROR(__xludf.DUMMYFUNCTION("""COMPUTED_VALUE"""),"CORAL SPRINGS")</f>
        <v>CORAL SPRINGS</v>
      </c>
      <c r="E83" s="2" t="str">
        <f ca="1">IFERROR(__xludf.DUMMYFUNCTION("""COMPUTED_VALUE"""),"FL")</f>
        <v>FL</v>
      </c>
      <c r="F83" s="4" t="str">
        <f ca="1">IFERROR(__xludf.DUMMYFUNCTION("""COMPUTED_VALUE"""),"33076")</f>
        <v>33076</v>
      </c>
      <c r="G83" s="2"/>
      <c r="H83" s="2"/>
      <c r="I83" s="2"/>
    </row>
    <row r="84" spans="1:9" ht="13" x14ac:dyDescent="0.3">
      <c r="A84" s="2" t="str">
        <f ca="1">IFERROR(__xludf.DUMMYFUNCTION("""COMPUTED_VALUE"""),"COAKLEY BROS DBA BROTHERS BUSINESS INT")</f>
        <v>COAKLEY BROS DBA BROTHERS BUSINESS INT</v>
      </c>
      <c r="B84" s="3" t="str">
        <f ca="1">IFERROR(__xludf.DUMMYFUNCTION("""COMPUTED_VALUE"""),"WO, SB")</f>
        <v>WO, SB</v>
      </c>
      <c r="C84" s="2" t="str">
        <f ca="1">IFERROR(__xludf.DUMMYFUNCTION("""COMPUTED_VALUE"""),"*400 S 5TH ST")</f>
        <v>*400 S 5TH ST</v>
      </c>
      <c r="D84" s="2" t="str">
        <f ca="1">IFERROR(__xludf.DUMMYFUNCTION("""COMPUTED_VALUE"""),"MILWAUKEE")</f>
        <v>MILWAUKEE</v>
      </c>
      <c r="E84" s="2" t="str">
        <f ca="1">IFERROR(__xludf.DUMMYFUNCTION("""COMPUTED_VALUE"""),"WI")</f>
        <v>WI</v>
      </c>
      <c r="F84" s="4" t="str">
        <f ca="1">IFERROR(__xludf.DUMMYFUNCTION("""COMPUTED_VALUE"""),"53204")</f>
        <v>53204</v>
      </c>
      <c r="G84" s="2"/>
      <c r="H84" s="2"/>
      <c r="I84" s="2"/>
    </row>
    <row r="85" spans="1:9" ht="13" x14ac:dyDescent="0.3">
      <c r="A85" s="2" t="str">
        <f ca="1">IFERROR(__xludf.DUMMYFUNCTION("""COMPUTED_VALUE"""),"COFCO-PA")</f>
        <v>COFCO-PA</v>
      </c>
      <c r="B85" s="3"/>
      <c r="C85" s="2" t="str">
        <f ca="1">IFERROR(__xludf.DUMMYFUNCTION("""COMPUTED_VALUE"""),"*2200 NORTH AMERICAN ST")</f>
        <v>*2200 NORTH AMERICAN ST</v>
      </c>
      <c r="D85" s="2" t="str">
        <f ca="1">IFERROR(__xludf.DUMMYFUNCTION("""COMPUTED_VALUE"""),"PHILADELPHIA")</f>
        <v>PHILADELPHIA</v>
      </c>
      <c r="E85" s="2" t="str">
        <f ca="1">IFERROR(__xludf.DUMMYFUNCTION("""COMPUTED_VALUE"""),"PA")</f>
        <v>PA</v>
      </c>
      <c r="F85" s="4" t="str">
        <f ca="1">IFERROR(__xludf.DUMMYFUNCTION("""COMPUTED_VALUE"""),"19133")</f>
        <v>19133</v>
      </c>
      <c r="G85" s="2"/>
      <c r="H85" s="2"/>
      <c r="I85" s="2"/>
    </row>
    <row r="86" spans="1:9" ht="13" x14ac:dyDescent="0.3">
      <c r="A86" s="2" t="str">
        <f ca="1">IFERROR(__xludf.DUMMYFUNCTION("""COMPUTED_VALUE"""),"COLEMANS OFFICE &amp; SCHOOL PRODUCTS")</f>
        <v>COLEMANS OFFICE &amp; SCHOOL PRODUCTS</v>
      </c>
      <c r="B86" s="3"/>
      <c r="C86" s="2" t="str">
        <f ca="1">IFERROR(__xludf.DUMMYFUNCTION("""COMPUTED_VALUE"""),"*813 2ND ST  PO BOX 1120")</f>
        <v>*813 2ND ST  PO BOX 1120</v>
      </c>
      <c r="D86" s="2" t="str">
        <f ca="1">IFERROR(__xludf.DUMMYFUNCTION("""COMPUTED_VALUE"""),"CONWAY")</f>
        <v>CONWAY</v>
      </c>
      <c r="E86" s="2" t="str">
        <f ca="1">IFERROR(__xludf.DUMMYFUNCTION("""COMPUTED_VALUE"""),"AR")</f>
        <v>AR</v>
      </c>
      <c r="F86" s="4" t="str">
        <f ca="1">IFERROR(__xludf.DUMMYFUNCTION("""COMPUTED_VALUE"""),"72033")</f>
        <v>72033</v>
      </c>
      <c r="G86" s="2"/>
      <c r="H86" s="2"/>
      <c r="I86" s="2"/>
    </row>
    <row r="87" spans="1:9" ht="13" x14ac:dyDescent="0.3">
      <c r="A87" s="2" t="str">
        <f ca="1">IFERROR(__xludf.DUMMYFUNCTION("""COMPUTED_VALUE"""),"COMMERCIAL BUSINESS INTERIORS")</f>
        <v>COMMERCIAL BUSINESS INTERIORS</v>
      </c>
      <c r="B87" s="3"/>
      <c r="C87" s="2" t="str">
        <f ca="1">IFERROR(__xludf.DUMMYFUNCTION("""COMPUTED_VALUE"""),"*6927 US HIGHWAY 49 NORTH")</f>
        <v>*6927 US HIGHWAY 49 NORTH</v>
      </c>
      <c r="D87" s="2" t="str">
        <f ca="1">IFERROR(__xludf.DUMMYFUNCTION("""COMPUTED_VALUE"""),"HATTIESBURG")</f>
        <v>HATTIESBURG</v>
      </c>
      <c r="E87" s="2" t="str">
        <f ca="1">IFERROR(__xludf.DUMMYFUNCTION("""COMPUTED_VALUE"""),"MS")</f>
        <v>MS</v>
      </c>
      <c r="F87" s="4" t="str">
        <f ca="1">IFERROR(__xludf.DUMMYFUNCTION("""COMPUTED_VALUE"""),"39402")</f>
        <v>39402</v>
      </c>
      <c r="G87" s="2"/>
      <c r="H87" s="2"/>
      <c r="I87" s="2"/>
    </row>
    <row r="88" spans="1:9" ht="13" x14ac:dyDescent="0.3">
      <c r="A88" s="2" t="str">
        <f ca="1">IFERROR(__xludf.DUMMYFUNCTION("""COMPUTED_VALUE"""),"COMMERCIAL DESIGN SERVICES - ALT SPR")</f>
        <v>COMMERCIAL DESIGN SERVICES - ALT SPR</v>
      </c>
      <c r="B88" s="3"/>
      <c r="C88" s="2" t="str">
        <f ca="1">IFERROR(__xludf.DUMMYFUNCTION("""COMPUTED_VALUE"""),"*640 DOUGLAS AVE  STE 1514")</f>
        <v>*640 DOUGLAS AVE  STE 1514</v>
      </c>
      <c r="D88" s="2" t="str">
        <f ca="1">IFERROR(__xludf.DUMMYFUNCTION("""COMPUTED_VALUE"""),"ALTAMONTE SPRINGS")</f>
        <v>ALTAMONTE SPRINGS</v>
      </c>
      <c r="E88" s="2" t="str">
        <f ca="1">IFERROR(__xludf.DUMMYFUNCTION("""COMPUTED_VALUE"""),"FL")</f>
        <v>FL</v>
      </c>
      <c r="F88" s="4" t="str">
        <f ca="1">IFERROR(__xludf.DUMMYFUNCTION("""COMPUTED_VALUE"""),"32714")</f>
        <v>32714</v>
      </c>
      <c r="G88" s="2"/>
      <c r="H88" s="2"/>
      <c r="I88" s="2"/>
    </row>
    <row r="89" spans="1:9" ht="13" x14ac:dyDescent="0.3">
      <c r="A89" s="2" t="str">
        <f ca="1">IFERROR(__xludf.DUMMYFUNCTION("""COMPUTED_VALUE"""),"COMMERCIAL DESIGN SERVICES - JVILLE")</f>
        <v>COMMERCIAL DESIGN SERVICES - JVILLE</v>
      </c>
      <c r="B89" s="3"/>
      <c r="C89" s="2" t="str">
        <f ca="1">IFERROR(__xludf.DUMMYFUNCTION("""COMPUTED_VALUE"""),"*5805 BARRY RD")</f>
        <v>*5805 BARRY RD</v>
      </c>
      <c r="D89" s="2" t="str">
        <f ca="1">IFERROR(__xludf.DUMMYFUNCTION("""COMPUTED_VALUE"""),"TAMPA")</f>
        <v>TAMPA</v>
      </c>
      <c r="E89" s="2" t="str">
        <f ca="1">IFERROR(__xludf.DUMMYFUNCTION("""COMPUTED_VALUE"""),"FL")</f>
        <v>FL</v>
      </c>
      <c r="F89" s="4" t="str">
        <f ca="1">IFERROR(__xludf.DUMMYFUNCTION("""COMPUTED_VALUE"""),"33634")</f>
        <v>33634</v>
      </c>
      <c r="G89" s="2"/>
      <c r="H89" s="2"/>
      <c r="I89" s="2"/>
    </row>
    <row r="90" spans="1:9" ht="13" x14ac:dyDescent="0.3">
      <c r="A90" s="2" t="str">
        <f ca="1">IFERROR(__xludf.DUMMYFUNCTION("""COMPUTED_VALUE"""),"COMMERCIAL DESIGN SERVICES - TALLAHASSEE")</f>
        <v>COMMERCIAL DESIGN SERVICES - TALLAHASSEE</v>
      </c>
      <c r="B90" s="3"/>
      <c r="C90" s="2" t="str">
        <f ca="1">IFERROR(__xludf.DUMMYFUNCTION("""COMPUTED_VALUE"""),"*508-C CAPITAL CIRCLE SE")</f>
        <v>*508-C CAPITAL CIRCLE SE</v>
      </c>
      <c r="D90" s="2" t="str">
        <f ca="1">IFERROR(__xludf.DUMMYFUNCTION("""COMPUTED_VALUE"""),"TALLAHASSEE")</f>
        <v>TALLAHASSEE</v>
      </c>
      <c r="E90" s="2" t="str">
        <f ca="1">IFERROR(__xludf.DUMMYFUNCTION("""COMPUTED_VALUE"""),"FL")</f>
        <v>FL</v>
      </c>
      <c r="F90" s="4" t="str">
        <f ca="1">IFERROR(__xludf.DUMMYFUNCTION("""COMPUTED_VALUE"""),"32301")</f>
        <v>32301</v>
      </c>
      <c r="G90" s="2"/>
      <c r="H90" s="2"/>
      <c r="I90" s="2"/>
    </row>
    <row r="91" spans="1:9" ht="13" x14ac:dyDescent="0.3">
      <c r="A91" s="2" t="str">
        <f ca="1">IFERROR(__xludf.DUMMYFUNCTION("""COMPUTED_VALUE"""),"COMMERCIAL DESIGN SERVICES - TAMPA")</f>
        <v>COMMERCIAL DESIGN SERVICES - TAMPA</v>
      </c>
      <c r="B91" s="3"/>
      <c r="C91" s="2" t="str">
        <f ca="1">IFERROR(__xludf.DUMMYFUNCTION("""COMPUTED_VALUE"""),"*5805 BARRY RD")</f>
        <v>*5805 BARRY RD</v>
      </c>
      <c r="D91" s="2" t="str">
        <f ca="1">IFERROR(__xludf.DUMMYFUNCTION("""COMPUTED_VALUE"""),"TAMPA")</f>
        <v>TAMPA</v>
      </c>
      <c r="E91" s="2" t="str">
        <f ca="1">IFERROR(__xludf.DUMMYFUNCTION("""COMPUTED_VALUE"""),"FL")</f>
        <v>FL</v>
      </c>
      <c r="F91" s="4" t="str">
        <f ca="1">IFERROR(__xludf.DUMMYFUNCTION("""COMPUTED_VALUE"""),"33634")</f>
        <v>33634</v>
      </c>
      <c r="G91" s="2"/>
      <c r="H91" s="2"/>
      <c r="I91" s="2"/>
    </row>
    <row r="92" spans="1:9" ht="13" x14ac:dyDescent="0.3">
      <c r="A92" s="2" t="str">
        <f ca="1">IFERROR(__xludf.DUMMYFUNCTION("""COMPUTED_VALUE"""),"COMMERCIAL FURNITURE SERVICES INC")</f>
        <v>COMMERCIAL FURNITURE SERVICES INC</v>
      </c>
      <c r="B92" s="3"/>
      <c r="C92" s="2" t="str">
        <f ca="1">IFERROR(__xludf.DUMMYFUNCTION("""COMPUTED_VALUE"""),"*4301 HWY 7")</f>
        <v>*4301 HWY 7</v>
      </c>
      <c r="D92" s="2" t="str">
        <f ca="1">IFERROR(__xludf.DUMMYFUNCTION("""COMPUTED_VALUE"""),"SAINT LOUIS PARK")</f>
        <v>SAINT LOUIS PARK</v>
      </c>
      <c r="E92" s="2" t="str">
        <f ca="1">IFERROR(__xludf.DUMMYFUNCTION("""COMPUTED_VALUE"""),"MN")</f>
        <v>MN</v>
      </c>
      <c r="F92" s="4" t="str">
        <f ca="1">IFERROR(__xludf.DUMMYFUNCTION("""COMPUTED_VALUE"""),"55416")</f>
        <v>55416</v>
      </c>
      <c r="G92" s="2"/>
      <c r="H92" s="2"/>
      <c r="I92" s="2"/>
    </row>
    <row r="93" spans="1:9" ht="13" x14ac:dyDescent="0.3">
      <c r="A93" s="2" t="str">
        <f ca="1">IFERROR(__xludf.DUMMYFUNCTION("""COMPUTED_VALUE"""),"COMMERCIAL OFFICE ENVIRONMENTS INC")</f>
        <v>COMMERCIAL OFFICE ENVIRONMENTS INC</v>
      </c>
      <c r="B93" s="3"/>
      <c r="C93" s="2" t="str">
        <f ca="1">IFERROR(__xludf.DUMMYFUNCTION("""COMPUTED_VALUE"""),"*7301 ZIONSVILLE RD")</f>
        <v>*7301 ZIONSVILLE RD</v>
      </c>
      <c r="D93" s="2" t="str">
        <f ca="1">IFERROR(__xludf.DUMMYFUNCTION("""COMPUTED_VALUE"""),"INDIANAPOLIS")</f>
        <v>INDIANAPOLIS</v>
      </c>
      <c r="E93" s="2" t="str">
        <f ca="1">IFERROR(__xludf.DUMMYFUNCTION("""COMPUTED_VALUE"""),"IN")</f>
        <v>IN</v>
      </c>
      <c r="F93" s="4" t="str">
        <f ca="1">IFERROR(__xludf.DUMMYFUNCTION("""COMPUTED_VALUE"""),"46268")</f>
        <v>46268</v>
      </c>
      <c r="G93" s="2"/>
      <c r="H93" s="2"/>
      <c r="I93" s="2"/>
    </row>
    <row r="94" spans="1:9" ht="13" x14ac:dyDescent="0.3">
      <c r="A94" s="2" t="str">
        <f ca="1">IFERROR(__xludf.DUMMYFUNCTION("""COMPUTED_VALUE"""),"COMMERCIAL OFFICE INTERIORS-WA")</f>
        <v>COMMERCIAL OFFICE INTERIORS-WA</v>
      </c>
      <c r="B94" s="3"/>
      <c r="C94" s="2" t="str">
        <f ca="1">IFERROR(__xludf.DUMMYFUNCTION("""COMPUTED_VALUE"""),"*2601 4TH AVE STE 700")</f>
        <v>*2601 4TH AVE STE 700</v>
      </c>
      <c r="D94" s="2" t="str">
        <f ca="1">IFERROR(__xludf.DUMMYFUNCTION("""COMPUTED_VALUE"""),"SEATTLE")</f>
        <v>SEATTLE</v>
      </c>
      <c r="E94" s="2" t="str">
        <f ca="1">IFERROR(__xludf.DUMMYFUNCTION("""COMPUTED_VALUE"""),"WA")</f>
        <v>WA</v>
      </c>
      <c r="F94" s="4" t="str">
        <f ca="1">IFERROR(__xludf.DUMMYFUNCTION("""COMPUTED_VALUE"""),"98121")</f>
        <v>98121</v>
      </c>
      <c r="G94" s="2"/>
      <c r="H94" s="2"/>
      <c r="I94" s="2"/>
    </row>
    <row r="95" spans="1:9" ht="13" x14ac:dyDescent="0.3">
      <c r="A95" s="2" t="str">
        <f ca="1">IFERROR(__xludf.DUMMYFUNCTION("""COMPUTED_VALUE"""),"COMMON SENSE OFFICE FURNITURE")</f>
        <v>COMMON SENSE OFFICE FURNITURE</v>
      </c>
      <c r="B95" s="3"/>
      <c r="C95" s="2" t="str">
        <f ca="1">IFERROR(__xludf.DUMMYFUNCTION("""COMPUTED_VALUE"""),"*820 W WASHINGTON ST")</f>
        <v>*820 W WASHINGTON ST</v>
      </c>
      <c r="D95" s="2" t="str">
        <f ca="1">IFERROR(__xludf.DUMMYFUNCTION("""COMPUTED_VALUE"""),"ORLANDO")</f>
        <v>ORLANDO</v>
      </c>
      <c r="E95" s="2" t="str">
        <f ca="1">IFERROR(__xludf.DUMMYFUNCTION("""COMPUTED_VALUE"""),"FL")</f>
        <v>FL</v>
      </c>
      <c r="F95" s="4" t="str">
        <f ca="1">IFERROR(__xludf.DUMMYFUNCTION("""COMPUTED_VALUE"""),"32805")</f>
        <v>32805</v>
      </c>
      <c r="G95" s="2"/>
      <c r="H95" s="2"/>
      <c r="I95" s="2"/>
    </row>
    <row r="96" spans="1:9" ht="13" x14ac:dyDescent="0.3">
      <c r="A96" s="2" t="str">
        <f ca="1">IFERROR(__xludf.DUMMYFUNCTION("""COMPUTED_VALUE"""),"COMMONWEALTH OF PENNSYLVANIA")</f>
        <v>COMMONWEALTH OF PENNSYLVANIA</v>
      </c>
      <c r="B96" s="3"/>
      <c r="C96" s="2" t="str">
        <f ca="1">IFERROR(__xludf.DUMMYFUNCTION("""COMPUTED_VALUE"""),"*COMMONWEALTH OF PENNSYLVANIA-PO INVOICE  PO BOX 69180")</f>
        <v>*COMMONWEALTH OF PENNSYLVANIA-PO INVOICE  PO BOX 69180</v>
      </c>
      <c r="D96" s="2" t="str">
        <f ca="1">IFERROR(__xludf.DUMMYFUNCTION("""COMPUTED_VALUE"""),"HARRISBURG")</f>
        <v>HARRISBURG</v>
      </c>
      <c r="E96" s="2" t="str">
        <f ca="1">IFERROR(__xludf.DUMMYFUNCTION("""COMPUTED_VALUE"""),"PA")</f>
        <v>PA</v>
      </c>
      <c r="F96" s="4" t="str">
        <f ca="1">IFERROR(__xludf.DUMMYFUNCTION("""COMPUTED_VALUE"""),"17106")</f>
        <v>17106</v>
      </c>
      <c r="G96" s="2"/>
      <c r="H96" s="2"/>
      <c r="I96" s="2"/>
    </row>
    <row r="97" spans="1:9" ht="13" x14ac:dyDescent="0.3">
      <c r="A97" s="2" t="str">
        <f ca="1">IFERROR(__xludf.DUMMYFUNCTION("""COMPUTED_VALUE"""),"COMPASS OFFICE SOLUTIONS LLC")</f>
        <v>COMPASS OFFICE SOLUTIONS LLC</v>
      </c>
      <c r="B97" s="3"/>
      <c r="C97" s="2" t="str">
        <f ca="1">IFERROR(__xludf.DUMMYFUNCTION("""COMPUTED_VALUE"""),"*3320 ENTERPRISE WAY")</f>
        <v>*3320 ENTERPRISE WAY</v>
      </c>
      <c r="D97" s="2" t="str">
        <f ca="1">IFERROR(__xludf.DUMMYFUNCTION("""COMPUTED_VALUE"""),"MIRAMAR")</f>
        <v>MIRAMAR</v>
      </c>
      <c r="E97" s="2" t="str">
        <f ca="1">IFERROR(__xludf.DUMMYFUNCTION("""COMPUTED_VALUE"""),"FL")</f>
        <v>FL</v>
      </c>
      <c r="F97" s="4" t="str">
        <f ca="1">IFERROR(__xludf.DUMMYFUNCTION("""COMPUTED_VALUE"""),"33025")</f>
        <v>33025</v>
      </c>
      <c r="G97" s="2"/>
      <c r="H97" s="2"/>
      <c r="I97" s="2"/>
    </row>
    <row r="98" spans="1:9" ht="13" x14ac:dyDescent="0.3">
      <c r="A98" s="2" t="str">
        <f ca="1">IFERROR(__xludf.DUMMYFUNCTION("""COMPUTED_VALUE"""),"CONTEMPORARY GALLERIES-CHARLESTON")</f>
        <v>CONTEMPORARY GALLERIES-CHARLESTON</v>
      </c>
      <c r="B98" s="3"/>
      <c r="C98" s="2" t="str">
        <f ca="1">IFERROR(__xludf.DUMMYFUNCTION("""COMPUTED_VALUE"""),"*P O BOX 2829")</f>
        <v>*P O BOX 2829</v>
      </c>
      <c r="D98" s="2" t="str">
        <f ca="1">IFERROR(__xludf.DUMMYFUNCTION("""COMPUTED_VALUE"""),"CHARLESTON")</f>
        <v>CHARLESTON</v>
      </c>
      <c r="E98" s="2" t="str">
        <f ca="1">IFERROR(__xludf.DUMMYFUNCTION("""COMPUTED_VALUE"""),"WV")</f>
        <v>WV</v>
      </c>
      <c r="F98" s="4" t="str">
        <f ca="1">IFERROR(__xludf.DUMMYFUNCTION("""COMPUTED_VALUE"""),"25330")</f>
        <v>25330</v>
      </c>
      <c r="G98" s="2"/>
      <c r="H98" s="2"/>
      <c r="I98" s="2"/>
    </row>
    <row r="99" spans="1:9" ht="13" x14ac:dyDescent="0.3">
      <c r="A99" s="2" t="str">
        <f ca="1">IFERROR(__xludf.DUMMYFUNCTION("""COMPUTED_VALUE"""),"CONTINENTAL OFFICE ENVIRONMENTS-OH")</f>
        <v>CONTINENTAL OFFICE ENVIRONMENTS-OH</v>
      </c>
      <c r="B99" s="3"/>
      <c r="C99" s="2" t="str">
        <f ca="1">IFERROR(__xludf.DUMMYFUNCTION("""COMPUTED_VALUE"""),"*5061 FWY DR E")</f>
        <v>*5061 FWY DR E</v>
      </c>
      <c r="D99" s="2" t="str">
        <f ca="1">IFERROR(__xludf.DUMMYFUNCTION("""COMPUTED_VALUE"""),"COLUMBUS")</f>
        <v>COLUMBUS</v>
      </c>
      <c r="E99" s="2" t="str">
        <f ca="1">IFERROR(__xludf.DUMMYFUNCTION("""COMPUTED_VALUE"""),"OH")</f>
        <v>OH</v>
      </c>
      <c r="F99" s="4" t="str">
        <f ca="1">IFERROR(__xludf.DUMMYFUNCTION("""COMPUTED_VALUE"""),"43229")</f>
        <v>43229</v>
      </c>
      <c r="G99" s="2"/>
      <c r="H99" s="2"/>
      <c r="I99" s="2"/>
    </row>
    <row r="100" spans="1:9" ht="13" x14ac:dyDescent="0.3">
      <c r="A100" s="2" t="str">
        <f ca="1">IFERROR(__xludf.DUMMYFUNCTION("""COMPUTED_VALUE"""),"CONTINENTAL OFFICE ENVIRONMENTS-PA")</f>
        <v>CONTINENTAL OFFICE ENVIRONMENTS-PA</v>
      </c>
      <c r="B100" s="3"/>
      <c r="C100" s="2" t="str">
        <f ca="1">IFERROR(__xludf.DUMMYFUNCTION("""COMPUTED_VALUE"""),"*5149 BUTLER ST")</f>
        <v>*5149 BUTLER ST</v>
      </c>
      <c r="D100" s="2" t="str">
        <f ca="1">IFERROR(__xludf.DUMMYFUNCTION("""COMPUTED_VALUE"""),"PITTSBURGH")</f>
        <v>PITTSBURGH</v>
      </c>
      <c r="E100" s="2" t="str">
        <f ca="1">IFERROR(__xludf.DUMMYFUNCTION("""COMPUTED_VALUE"""),"PA")</f>
        <v>PA</v>
      </c>
      <c r="F100" s="4" t="str">
        <f ca="1">IFERROR(__xludf.DUMMYFUNCTION("""COMPUTED_VALUE"""),"15201")</f>
        <v>15201</v>
      </c>
      <c r="G100" s="2"/>
      <c r="H100" s="2"/>
      <c r="I100" s="2"/>
    </row>
    <row r="101" spans="1:9" ht="13" x14ac:dyDescent="0.3">
      <c r="A101" s="2" t="str">
        <f ca="1">IFERROR(__xludf.DUMMYFUNCTION("""COMPUTED_VALUE"""),"CONTRACT ASSOCIATES INC-ALBUQUERQUE")</f>
        <v>CONTRACT ASSOCIATES INC-ALBUQUERQUE</v>
      </c>
      <c r="B101" s="3" t="str">
        <f ca="1">IFERROR(__xludf.DUMMYFUNCTION("""COMPUTED_VALUE"""),"WBE")</f>
        <v>WBE</v>
      </c>
      <c r="C101" s="2" t="str">
        <f ca="1">IFERROR(__xludf.DUMMYFUNCTION("""COMPUTED_VALUE"""),"*219 CENTRAL AVE NW STE 100")</f>
        <v>*219 CENTRAL AVE NW STE 100</v>
      </c>
      <c r="D101" s="2" t="str">
        <f ca="1">IFERROR(__xludf.DUMMYFUNCTION("""COMPUTED_VALUE"""),"ALBUQUERQUE")</f>
        <v>ALBUQUERQUE</v>
      </c>
      <c r="E101" s="2" t="str">
        <f ca="1">IFERROR(__xludf.DUMMYFUNCTION("""COMPUTED_VALUE"""),"NM")</f>
        <v>NM</v>
      </c>
      <c r="F101" s="4" t="str">
        <f ca="1">IFERROR(__xludf.DUMMYFUNCTION("""COMPUTED_VALUE"""),"87102")</f>
        <v>87102</v>
      </c>
      <c r="G101" s="2"/>
      <c r="H101" s="2"/>
      <c r="I101" s="2"/>
    </row>
    <row r="102" spans="1:9" ht="13" x14ac:dyDescent="0.3">
      <c r="A102" s="2" t="str">
        <f ca="1">IFERROR(__xludf.DUMMYFUNCTION("""COMPUTED_VALUE"""),"CONTRACT DESIGN ASSOC INC-SPOKANE")</f>
        <v>CONTRACT DESIGN ASSOC INC-SPOKANE</v>
      </c>
      <c r="B102" s="3"/>
      <c r="C102" s="2" t="str">
        <f ca="1">IFERROR(__xludf.DUMMYFUNCTION("""COMPUTED_VALUE"""),"*402 E SPRAGUE AVE")</f>
        <v>*402 E SPRAGUE AVE</v>
      </c>
      <c r="D102" s="2" t="str">
        <f ca="1">IFERROR(__xludf.DUMMYFUNCTION("""COMPUTED_VALUE"""),"SPOKANE")</f>
        <v>SPOKANE</v>
      </c>
      <c r="E102" s="2" t="str">
        <f ca="1">IFERROR(__xludf.DUMMYFUNCTION("""COMPUTED_VALUE"""),"WA")</f>
        <v>WA</v>
      </c>
      <c r="F102" s="4" t="str">
        <f ca="1">IFERROR(__xludf.DUMMYFUNCTION("""COMPUTED_VALUE"""),"99202")</f>
        <v>99202</v>
      </c>
      <c r="G102" s="2"/>
      <c r="H102" s="2"/>
      <c r="I102" s="2"/>
    </row>
    <row r="103" spans="1:9" ht="13" x14ac:dyDescent="0.3">
      <c r="A103" s="2" t="str">
        <f ca="1">IFERROR(__xludf.DUMMYFUNCTION("""COMPUTED_VALUE"""),"CONTRACT FURNISHINGS INC-DENVER")</f>
        <v>CONTRACT FURNISHINGS INC-DENVER</v>
      </c>
      <c r="B103" s="3" t="str">
        <f ca="1">IFERROR(__xludf.DUMMYFUNCTION("""COMPUTED_VALUE"""),"s/v/h")</f>
        <v>s/v/h</v>
      </c>
      <c r="C103" s="2" t="str">
        <f ca="1">IFERROR(__xludf.DUMMYFUNCTION("""COMPUTED_VALUE"""),"*3115 E 40TH AVE")</f>
        <v>*3115 E 40TH AVE</v>
      </c>
      <c r="D103" s="2" t="str">
        <f ca="1">IFERROR(__xludf.DUMMYFUNCTION("""COMPUTED_VALUE"""),"DENVER")</f>
        <v>DENVER</v>
      </c>
      <c r="E103" s="2" t="str">
        <f ca="1">IFERROR(__xludf.DUMMYFUNCTION("""COMPUTED_VALUE"""),"CO")</f>
        <v>CO</v>
      </c>
      <c r="F103" s="4" t="str">
        <f ca="1">IFERROR(__xludf.DUMMYFUNCTION("""COMPUTED_VALUE"""),"80205")</f>
        <v>80205</v>
      </c>
      <c r="G103" s="2"/>
      <c r="H103" s="2"/>
      <c r="I103" s="2"/>
    </row>
    <row r="104" spans="1:9" ht="13" x14ac:dyDescent="0.3">
      <c r="A104" s="2" t="str">
        <f ca="1">IFERROR(__xludf.DUMMYFUNCTION("""COMPUTED_VALUE"""),"COORDINATED RESOURCES-SAN FRANCISCO")</f>
        <v>COORDINATED RESOURCES-SAN FRANCISCO</v>
      </c>
      <c r="B104" s="3"/>
      <c r="C104" s="2" t="str">
        <f ca="1">IFERROR(__xludf.DUMMYFUNCTION("""COMPUTED_VALUE"""),"*130 SUTTER ST 3RD FL")</f>
        <v>*130 SUTTER ST 3RD FL</v>
      </c>
      <c r="D104" s="2" t="str">
        <f ca="1">IFERROR(__xludf.DUMMYFUNCTION("""COMPUTED_VALUE"""),"SAN FRANCISCO")</f>
        <v>SAN FRANCISCO</v>
      </c>
      <c r="E104" s="2" t="str">
        <f ca="1">IFERROR(__xludf.DUMMYFUNCTION("""COMPUTED_VALUE"""),"CA")</f>
        <v>CA</v>
      </c>
      <c r="F104" s="4" t="str">
        <f ca="1">IFERROR(__xludf.DUMMYFUNCTION("""COMPUTED_VALUE"""),"94104")</f>
        <v>94104</v>
      </c>
      <c r="G104" s="2"/>
      <c r="H104" s="2"/>
      <c r="I104" s="2"/>
    </row>
    <row r="105" spans="1:9" ht="13" x14ac:dyDescent="0.3">
      <c r="A105" s="2" t="str">
        <f ca="1">IFERROR(__xludf.DUMMYFUNCTION("""COMPUTED_VALUE"""),"CORPORATE CONCEPTS - IL")</f>
        <v>CORPORATE CONCEPTS - IL</v>
      </c>
      <c r="B105" s="3"/>
      <c r="C105" s="2" t="str">
        <f ca="1">IFERROR(__xludf.DUMMYFUNCTION("""COMPUTED_VALUE"""),"*500 WATERS EDGE STE 200  OAK CREEK CENTER")</f>
        <v>*500 WATERS EDGE STE 200  OAK CREEK CENTER</v>
      </c>
      <c r="D105" s="2" t="str">
        <f ca="1">IFERROR(__xludf.DUMMYFUNCTION("""COMPUTED_VALUE"""),"LOMBARD")</f>
        <v>LOMBARD</v>
      </c>
      <c r="E105" s="2" t="str">
        <f ca="1">IFERROR(__xludf.DUMMYFUNCTION("""COMPUTED_VALUE"""),"IL")</f>
        <v>IL</v>
      </c>
      <c r="F105" s="4" t="str">
        <f ca="1">IFERROR(__xludf.DUMMYFUNCTION("""COMPUTED_VALUE"""),"60148")</f>
        <v>60148</v>
      </c>
      <c r="G105" s="2"/>
      <c r="H105" s="2"/>
      <c r="I105" s="2"/>
    </row>
    <row r="106" spans="1:9" ht="13" x14ac:dyDescent="0.3">
      <c r="A106" s="2" t="str">
        <f ca="1">IFERROR(__xludf.DUMMYFUNCTION("""COMPUTED_VALUE"""),"CORPORATE DESIGN CHOICE INC")</f>
        <v>CORPORATE DESIGN CHOICE INC</v>
      </c>
      <c r="B106" s="3"/>
      <c r="C106" s="2" t="str">
        <f ca="1">IFERROR(__xludf.DUMMYFUNCTION("""COMPUTED_VALUE"""),"*11001 NW 33RD ST")</f>
        <v>*11001 NW 33RD ST</v>
      </c>
      <c r="D106" s="2" t="str">
        <f ca="1">IFERROR(__xludf.DUMMYFUNCTION("""COMPUTED_VALUE"""),"MIAMI")</f>
        <v>MIAMI</v>
      </c>
      <c r="E106" s="2" t="str">
        <f ca="1">IFERROR(__xludf.DUMMYFUNCTION("""COMPUTED_VALUE"""),"FL")</f>
        <v>FL</v>
      </c>
      <c r="F106" s="4" t="str">
        <f ca="1">IFERROR(__xludf.DUMMYFUNCTION("""COMPUTED_VALUE"""),"33172")</f>
        <v>33172</v>
      </c>
      <c r="G106" s="2"/>
      <c r="H106" s="2"/>
      <c r="I106" s="2"/>
    </row>
    <row r="107" spans="1:9" ht="13" x14ac:dyDescent="0.3">
      <c r="A107" s="2" t="str">
        <f ca="1">IFERROR(__xludf.DUMMYFUNCTION("""COMPUTED_VALUE"""),"CORPORATE ENVIRONMENTS INTERNATIONAL")</f>
        <v>CORPORATE ENVIRONMENTS INTERNATIONAL</v>
      </c>
      <c r="B107" s="3" t="str">
        <f ca="1">IFERROR(__xludf.DUMMYFUNCTION("""COMPUTED_VALUE"""),"s/v/d/8a")</f>
        <v>s/v/d/8a</v>
      </c>
      <c r="C107" s="2" t="str">
        <f ca="1">IFERROR(__xludf.DUMMYFUNCTION("""COMPUTED_VALUE"""),"*841 BISHOP ST  STE 1188")</f>
        <v>*841 BISHOP ST  STE 1188</v>
      </c>
      <c r="D107" s="2" t="str">
        <f ca="1">IFERROR(__xludf.DUMMYFUNCTION("""COMPUTED_VALUE"""),"HONOLULU")</f>
        <v>HONOLULU</v>
      </c>
      <c r="E107" s="2" t="str">
        <f ca="1">IFERROR(__xludf.DUMMYFUNCTION("""COMPUTED_VALUE"""),"HI")</f>
        <v>HI</v>
      </c>
      <c r="F107" s="4" t="str">
        <f ca="1">IFERROR(__xludf.DUMMYFUNCTION("""COMPUTED_VALUE"""),"96813")</f>
        <v>96813</v>
      </c>
      <c r="G107" s="2"/>
      <c r="H107" s="2"/>
      <c r="I107" s="2"/>
    </row>
    <row r="108" spans="1:9" ht="13" x14ac:dyDescent="0.3">
      <c r="A108" s="2" t="str">
        <f ca="1">IFERROR(__xludf.DUMMYFUNCTION("""COMPUTED_VALUE"""),"CORPORATE FACILITIES INC-PHILADELPHIA")</f>
        <v>CORPORATE FACILITIES INC-PHILADELPHIA</v>
      </c>
      <c r="B108" s="3" t="str">
        <f ca="1">IFERROR(__xludf.DUMMYFUNCTION("""COMPUTED_VALUE"""),"WO")</f>
        <v>WO</v>
      </c>
      <c r="C108" s="2" t="str">
        <f ca="1">IFERROR(__xludf.DUMMYFUNCTION("""COMPUTED_VALUE"""),"*2129 CHESTNUT ST")</f>
        <v>*2129 CHESTNUT ST</v>
      </c>
      <c r="D108" s="2" t="str">
        <f ca="1">IFERROR(__xludf.DUMMYFUNCTION("""COMPUTED_VALUE"""),"PHILADELPHIA")</f>
        <v>PHILADELPHIA</v>
      </c>
      <c r="E108" s="2" t="str">
        <f ca="1">IFERROR(__xludf.DUMMYFUNCTION("""COMPUTED_VALUE"""),"PA")</f>
        <v>PA</v>
      </c>
      <c r="F108" s="4" t="str">
        <f ca="1">IFERROR(__xludf.DUMMYFUNCTION("""COMPUTED_VALUE"""),"19103")</f>
        <v>19103</v>
      </c>
      <c r="G108" s="2"/>
      <c r="H108" s="2"/>
      <c r="I108" s="2"/>
    </row>
    <row r="109" spans="1:9" ht="13" x14ac:dyDescent="0.3">
      <c r="A109" s="2" t="str">
        <f ca="1">IFERROR(__xludf.DUMMYFUNCTION("""COMPUTED_VALUE"""),"CORPORATE FURNITURE OPTIONS INC")</f>
        <v>CORPORATE FURNITURE OPTIONS INC</v>
      </c>
      <c r="B109" s="3"/>
      <c r="C109" s="2" t="str">
        <f ca="1">IFERROR(__xludf.DUMMYFUNCTION("""COMPUTED_VALUE"""),"*2849 SW 42ND AVE")</f>
        <v>*2849 SW 42ND AVE</v>
      </c>
      <c r="D109" s="2" t="str">
        <f ca="1">IFERROR(__xludf.DUMMYFUNCTION("""COMPUTED_VALUE"""),"PALM CITY")</f>
        <v>PALM CITY</v>
      </c>
      <c r="E109" s="2" t="str">
        <f ca="1">IFERROR(__xludf.DUMMYFUNCTION("""COMPUTED_VALUE"""),"FL")</f>
        <v>FL</v>
      </c>
      <c r="F109" s="4" t="str">
        <f ca="1">IFERROR(__xludf.DUMMYFUNCTION("""COMPUTED_VALUE"""),"34990")</f>
        <v>34990</v>
      </c>
      <c r="G109" s="2"/>
      <c r="H109" s="2"/>
      <c r="I109" s="2"/>
    </row>
    <row r="110" spans="1:9" ht="13" x14ac:dyDescent="0.3">
      <c r="A110" s="2" t="str">
        <f ca="1">IFERROR(__xludf.DUMMYFUNCTION("""COMPUTED_VALUE"""),"CORPORATE INTERIOR SYSTEMS INC")</f>
        <v>CORPORATE INTERIOR SYSTEMS INC</v>
      </c>
      <c r="B110" s="3" t="str">
        <f ca="1">IFERROR(__xludf.DUMMYFUNCTION("""COMPUTED_VALUE"""),"s/w")</f>
        <v>s/w</v>
      </c>
      <c r="C110" s="2" t="str">
        <f ca="1">IFERROR(__xludf.DUMMYFUNCTION("""COMPUTED_VALUE"""),"*3311 E BROADWAY RD STE A")</f>
        <v>*3311 E BROADWAY RD STE A</v>
      </c>
      <c r="D110" s="2" t="str">
        <f ca="1">IFERROR(__xludf.DUMMYFUNCTION("""COMPUTED_VALUE"""),"PHOENIX")</f>
        <v>PHOENIX</v>
      </c>
      <c r="E110" s="2" t="str">
        <f ca="1">IFERROR(__xludf.DUMMYFUNCTION("""COMPUTED_VALUE"""),"AZ")</f>
        <v>AZ</v>
      </c>
      <c r="F110" s="4" t="str">
        <f ca="1">IFERROR(__xludf.DUMMYFUNCTION("""COMPUTED_VALUE"""),"85040")</f>
        <v>85040</v>
      </c>
      <c r="G110" s="2"/>
      <c r="H110" s="2"/>
      <c r="I110" s="2"/>
    </row>
    <row r="111" spans="1:9" ht="13" x14ac:dyDescent="0.3">
      <c r="A111" s="2" t="str">
        <f ca="1">IFERROR(__xludf.DUMMYFUNCTION("""COMPUTED_VALUE"""),"CORPORATE INTERIORS &amp; SALES INC")</f>
        <v>CORPORATE INTERIORS &amp; SALES INC</v>
      </c>
      <c r="B111" s="3"/>
      <c r="C111" s="2" t="str">
        <f ca="1">IFERROR(__xludf.DUMMYFUNCTION("""COMPUTED_VALUE"""),"*1329 MORGANTON RD")</f>
        <v>*1329 MORGANTON RD</v>
      </c>
      <c r="D111" s="2" t="str">
        <f ca="1">IFERROR(__xludf.DUMMYFUNCTION("""COMPUTED_VALUE"""),"FAYETTEVILLE")</f>
        <v>FAYETTEVILLE</v>
      </c>
      <c r="E111" s="2" t="str">
        <f ca="1">IFERROR(__xludf.DUMMYFUNCTION("""COMPUTED_VALUE"""),"NC")</f>
        <v>NC</v>
      </c>
      <c r="F111" s="4" t="str">
        <f ca="1">IFERROR(__xludf.DUMMYFUNCTION("""COMPUTED_VALUE"""),"28305")</f>
        <v>28305</v>
      </c>
      <c r="G111" s="2"/>
      <c r="H111" s="2"/>
      <c r="I111" s="2"/>
    </row>
    <row r="112" spans="1:9" ht="13" x14ac:dyDescent="0.3">
      <c r="A112" s="2" t="str">
        <f ca="1">IFERROR(__xludf.DUMMYFUNCTION("""COMPUTED_VALUE"""),"CORPORATE INTERIORS-BATON ROUGE")</f>
        <v>CORPORATE INTERIORS-BATON ROUGE</v>
      </c>
      <c r="B112" s="3" t="str">
        <f ca="1">IFERROR(__xludf.DUMMYFUNCTION("""COMPUTED_VALUE"""),"SDVOSB")</f>
        <v>SDVOSB</v>
      </c>
      <c r="C112" s="2" t="str">
        <f ca="1">IFERROR(__xludf.DUMMYFUNCTION("""COMPUTED_VALUE"""),"*12115 28TH ST N")</f>
        <v>*12115 28TH ST N</v>
      </c>
      <c r="D112" s="2" t="str">
        <f ca="1">IFERROR(__xludf.DUMMYFUNCTION("""COMPUTED_VALUE"""),"SAINT PETERSBURG")</f>
        <v>SAINT PETERSBURG</v>
      </c>
      <c r="E112" s="2" t="str">
        <f ca="1">IFERROR(__xludf.DUMMYFUNCTION("""COMPUTED_VALUE"""),"FL")</f>
        <v>FL</v>
      </c>
      <c r="F112" s="4" t="str">
        <f ca="1">IFERROR(__xludf.DUMMYFUNCTION("""COMPUTED_VALUE"""),"33716")</f>
        <v>33716</v>
      </c>
      <c r="G112" s="2"/>
      <c r="H112" s="2"/>
      <c r="I112" s="2"/>
    </row>
    <row r="113" spans="1:9" ht="13" x14ac:dyDescent="0.3">
      <c r="A113" s="2" t="str">
        <f ca="1">IFERROR(__xludf.DUMMYFUNCTION("""COMPUTED_VALUE"""),"CORPORATE STUDIO INC")</f>
        <v>CORPORATE STUDIO INC</v>
      </c>
      <c r="B113" s="3"/>
      <c r="C113" s="2" t="str">
        <f ca="1">IFERROR(__xludf.DUMMYFUNCTION("""COMPUTED_VALUE"""),"*20 8TH ST")</f>
        <v>*20 8TH ST</v>
      </c>
      <c r="D113" s="2" t="str">
        <f ca="1">IFERROR(__xludf.DUMMYFUNCTION("""COMPUTED_VALUE"""),"AUGUSTA")</f>
        <v>AUGUSTA</v>
      </c>
      <c r="E113" s="2" t="str">
        <f ca="1">IFERROR(__xludf.DUMMYFUNCTION("""COMPUTED_VALUE"""),"GA")</f>
        <v>GA</v>
      </c>
      <c r="F113" s="4" t="str">
        <f ca="1">IFERROR(__xludf.DUMMYFUNCTION("""COMPUTED_VALUE"""),"30901")</f>
        <v>30901</v>
      </c>
      <c r="G113" s="2"/>
      <c r="H113" s="2"/>
      <c r="I113" s="2"/>
    </row>
    <row r="114" spans="1:9" ht="13" x14ac:dyDescent="0.3">
      <c r="A114" s="2" t="str">
        <f ca="1">IFERROR(__xludf.DUMMYFUNCTION("""COMPUTED_VALUE"""),"COUNTY OFFICE PRODUCTS INC")</f>
        <v>COUNTY OFFICE PRODUCTS INC</v>
      </c>
      <c r="B114" s="3"/>
      <c r="C114" s="2" t="str">
        <f ca="1">IFERROR(__xludf.DUMMYFUNCTION("""COMPUTED_VALUE"""),"*110 5TH ST")</f>
        <v>*110 5TH ST</v>
      </c>
      <c r="D114" s="2" t="str">
        <f ca="1">IFERROR(__xludf.DUMMYFUNCTION("""COMPUTED_VALUE"""),"CHARLESTON")</f>
        <v>CHARLESTON</v>
      </c>
      <c r="E114" s="2" t="str">
        <f ca="1">IFERROR(__xludf.DUMMYFUNCTION("""COMPUTED_VALUE"""),"IL")</f>
        <v>IL</v>
      </c>
      <c r="F114" s="4" t="str">
        <f ca="1">IFERROR(__xludf.DUMMYFUNCTION("""COMPUTED_VALUE"""),"61920")</f>
        <v>61920</v>
      </c>
      <c r="G114" s="2"/>
      <c r="H114" s="2"/>
      <c r="I114" s="2"/>
    </row>
    <row r="115" spans="1:9" ht="13" x14ac:dyDescent="0.3">
      <c r="A115" s="2" t="str">
        <f ca="1">IFERROR(__xludf.DUMMYFUNCTION("""COMPUTED_VALUE"""),"CREATIVE BUSINESS INTERIORS - RALEIGH")</f>
        <v>CREATIVE BUSINESS INTERIORS - RALEIGH</v>
      </c>
      <c r="B115" s="3"/>
      <c r="C115" s="2" t="str">
        <f ca="1">IFERROR(__xludf.DUMMYFUNCTION("""COMPUTED_VALUE"""),"*8720 FLEET SERVICE DR")</f>
        <v>*8720 FLEET SERVICE DR</v>
      </c>
      <c r="D115" s="2" t="str">
        <f ca="1">IFERROR(__xludf.DUMMYFUNCTION("""COMPUTED_VALUE"""),"RALEIGH")</f>
        <v>RALEIGH</v>
      </c>
      <c r="E115" s="2" t="str">
        <f ca="1">IFERROR(__xludf.DUMMYFUNCTION("""COMPUTED_VALUE"""),"NC")</f>
        <v>NC</v>
      </c>
      <c r="F115" s="4" t="str">
        <f ca="1">IFERROR(__xludf.DUMMYFUNCTION("""COMPUTED_VALUE"""),"27617")</f>
        <v>27617</v>
      </c>
      <c r="G115" s="2"/>
      <c r="H115" s="2"/>
      <c r="I115" s="2"/>
    </row>
    <row r="116" spans="1:9" ht="13" x14ac:dyDescent="0.3">
      <c r="A116" s="2" t="str">
        <f ca="1">IFERROR(__xludf.DUMMYFUNCTION("""COMPUTED_VALUE"""),"CREATIVE BUSINESS INTERIORS-W ALLIS")</f>
        <v>CREATIVE BUSINESS INTERIORS-W ALLIS</v>
      </c>
      <c r="B116" s="3"/>
      <c r="C116" s="2" t="str">
        <f ca="1">IFERROR(__xludf.DUMMYFUNCTION("""COMPUTED_VALUE"""),"*1535 S 101ST ST")</f>
        <v>*1535 S 101ST ST</v>
      </c>
      <c r="D116" s="2" t="str">
        <f ca="1">IFERROR(__xludf.DUMMYFUNCTION("""COMPUTED_VALUE"""),"MILWAUKEE")</f>
        <v>MILWAUKEE</v>
      </c>
      <c r="E116" s="2" t="str">
        <f ca="1">IFERROR(__xludf.DUMMYFUNCTION("""COMPUTED_VALUE"""),"WI")</f>
        <v>WI</v>
      </c>
      <c r="F116" s="4" t="str">
        <f ca="1">IFERROR(__xludf.DUMMYFUNCTION("""COMPUTED_VALUE"""),"53214")</f>
        <v>53214</v>
      </c>
      <c r="G116" s="2"/>
      <c r="H116" s="2"/>
      <c r="I116" s="2"/>
    </row>
    <row r="117" spans="1:9" ht="13" x14ac:dyDescent="0.3">
      <c r="A117" s="2" t="str">
        <f ca="1">IFERROR(__xludf.DUMMYFUNCTION("""COMPUTED_VALUE"""),"CREATIVE OFC PAVILION-MA")</f>
        <v>CREATIVE OFC PAVILION-MA</v>
      </c>
      <c r="B117" s="3"/>
      <c r="C117" s="2" t="str">
        <f ca="1">IFERROR(__xludf.DUMMYFUNCTION("""COMPUTED_VALUE"""),"*1 DESIGN CTR PL STE 734")</f>
        <v>*1 DESIGN CTR PL STE 734</v>
      </c>
      <c r="D117" s="2" t="str">
        <f ca="1">IFERROR(__xludf.DUMMYFUNCTION("""COMPUTED_VALUE"""),"BOSTON")</f>
        <v>BOSTON</v>
      </c>
      <c r="E117" s="2" t="str">
        <f ca="1">IFERROR(__xludf.DUMMYFUNCTION("""COMPUTED_VALUE"""),"MA")</f>
        <v>MA</v>
      </c>
      <c r="F117" s="4" t="str">
        <f ca="1">IFERROR(__xludf.DUMMYFUNCTION("""COMPUTED_VALUE"""),"02210")</f>
        <v>02210</v>
      </c>
      <c r="G117" s="2"/>
      <c r="H117" s="2"/>
      <c r="I117" s="2"/>
    </row>
    <row r="118" spans="1:9" ht="13" x14ac:dyDescent="0.3">
      <c r="A118" s="2" t="str">
        <f ca="1">IFERROR(__xludf.DUMMYFUNCTION("""COMPUTED_VALUE"""),"CREATIVE OFC PAVILION-MAINE")</f>
        <v>CREATIVE OFC PAVILION-MAINE</v>
      </c>
      <c r="B118" s="3"/>
      <c r="C118" s="2" t="str">
        <f ca="1">IFERROR(__xludf.DUMMYFUNCTION("""COMPUTED_VALUE"""),"*141 MIDDLE ST")</f>
        <v>*141 MIDDLE ST</v>
      </c>
      <c r="D118" s="2" t="str">
        <f ca="1">IFERROR(__xludf.DUMMYFUNCTION("""COMPUTED_VALUE"""),"PORTLAND")</f>
        <v>PORTLAND</v>
      </c>
      <c r="E118" s="2" t="str">
        <f ca="1">IFERROR(__xludf.DUMMYFUNCTION("""COMPUTED_VALUE"""),"ME")</f>
        <v>ME</v>
      </c>
      <c r="F118" s="4" t="str">
        <f ca="1">IFERROR(__xludf.DUMMYFUNCTION("""COMPUTED_VALUE"""),"04101")</f>
        <v>04101</v>
      </c>
      <c r="G118" s="2"/>
      <c r="H118" s="2"/>
      <c r="I118" s="2"/>
    </row>
    <row r="119" spans="1:9" ht="13" x14ac:dyDescent="0.3">
      <c r="A119" s="2" t="str">
        <f ca="1">IFERROR(__xludf.DUMMYFUNCTION("""COMPUTED_VALUE"""),"CREATIVE OFC PAVILION-NJ")</f>
        <v>CREATIVE OFC PAVILION-NJ</v>
      </c>
      <c r="B119" s="3"/>
      <c r="C119" s="2" t="str">
        <f ca="1">IFERROR(__xludf.DUMMYFUNCTION("""COMPUTED_VALUE"""),"*1 DESIGN CTR PL STE 734")</f>
        <v>*1 DESIGN CTR PL STE 734</v>
      </c>
      <c r="D119" s="2" t="str">
        <f ca="1">IFERROR(__xludf.DUMMYFUNCTION("""COMPUTED_VALUE"""),"BOSTON")</f>
        <v>BOSTON</v>
      </c>
      <c r="E119" s="2" t="str">
        <f ca="1">IFERROR(__xludf.DUMMYFUNCTION("""COMPUTED_VALUE"""),"MA")</f>
        <v>MA</v>
      </c>
      <c r="F119" s="4" t="str">
        <f ca="1">IFERROR(__xludf.DUMMYFUNCTION("""COMPUTED_VALUE"""),"02210")</f>
        <v>02210</v>
      </c>
      <c r="G119" s="2"/>
      <c r="H119" s="2"/>
      <c r="I119" s="2"/>
    </row>
    <row r="120" spans="1:9" ht="13" x14ac:dyDescent="0.3">
      <c r="A120" s="2" t="str">
        <f ca="1">IFERROR(__xludf.DUMMYFUNCTION("""COMPUTED_VALUE"""),"CREATIVE OFC PAVILION-NYC")</f>
        <v>CREATIVE OFC PAVILION-NYC</v>
      </c>
      <c r="B120" s="3"/>
      <c r="C120" s="2" t="str">
        <f ca="1">IFERROR(__xludf.DUMMYFUNCTION("""COMPUTED_VALUE"""),"*1 DESIGN CTR PL STE 734")</f>
        <v>*1 DESIGN CTR PL STE 734</v>
      </c>
      <c r="D120" s="2" t="str">
        <f ca="1">IFERROR(__xludf.DUMMYFUNCTION("""COMPUTED_VALUE"""),"BOSTON")</f>
        <v>BOSTON</v>
      </c>
      <c r="E120" s="2" t="str">
        <f ca="1">IFERROR(__xludf.DUMMYFUNCTION("""COMPUTED_VALUE"""),"MA")</f>
        <v>MA</v>
      </c>
      <c r="F120" s="4" t="str">
        <f ca="1">IFERROR(__xludf.DUMMYFUNCTION("""COMPUTED_VALUE"""),"02210")</f>
        <v>02210</v>
      </c>
      <c r="G120" s="2"/>
      <c r="H120" s="2"/>
      <c r="I120" s="2"/>
    </row>
    <row r="121" spans="1:9" ht="13" x14ac:dyDescent="0.3">
      <c r="A121" s="2" t="str">
        <f ca="1">IFERROR(__xludf.DUMMYFUNCTION("""COMPUTED_VALUE"""),"CREATIVE OFC PAVILION-RHODE ISLAND")</f>
        <v>CREATIVE OFC PAVILION-RHODE ISLAND</v>
      </c>
      <c r="B121" s="3"/>
      <c r="C121" s="2" t="str">
        <f ca="1">IFERROR(__xludf.DUMMYFUNCTION("""COMPUTED_VALUE"""),"*10 MUTUAL PL")</f>
        <v>*10 MUTUAL PL</v>
      </c>
      <c r="D121" s="2" t="str">
        <f ca="1">IFERROR(__xludf.DUMMYFUNCTION("""COMPUTED_VALUE"""),"PROVIDENCE")</f>
        <v>PROVIDENCE</v>
      </c>
      <c r="E121" s="2" t="str">
        <f ca="1">IFERROR(__xludf.DUMMYFUNCTION("""COMPUTED_VALUE"""),"RI")</f>
        <v>RI</v>
      </c>
      <c r="F121" s="4" t="str">
        <f ca="1">IFERROR(__xludf.DUMMYFUNCTION("""COMPUTED_VALUE"""),"02906")</f>
        <v>02906</v>
      </c>
      <c r="G121" s="2"/>
      <c r="H121" s="2"/>
      <c r="I121" s="2"/>
    </row>
    <row r="122" spans="1:9" ht="13" x14ac:dyDescent="0.3">
      <c r="A122" s="2" t="str">
        <f ca="1">IFERROR(__xludf.DUMMYFUNCTION("""COMPUTED_VALUE"""),"CREATIVE OFC PAVILION-WORCESTER")</f>
        <v>CREATIVE OFC PAVILION-WORCESTER</v>
      </c>
      <c r="B122" s="3"/>
      <c r="C122" s="2" t="str">
        <f ca="1">IFERROR(__xludf.DUMMYFUNCTION("""COMPUTED_VALUE"""),"*14A E WORCESTER ST STE 140")</f>
        <v>*14A E WORCESTER ST STE 140</v>
      </c>
      <c r="D122" s="2" t="str">
        <f ca="1">IFERROR(__xludf.DUMMYFUNCTION("""COMPUTED_VALUE"""),"WORCESTER")</f>
        <v>WORCESTER</v>
      </c>
      <c r="E122" s="2" t="str">
        <f ca="1">IFERROR(__xludf.DUMMYFUNCTION("""COMPUTED_VALUE"""),"MA")</f>
        <v>MA</v>
      </c>
      <c r="F122" s="4" t="str">
        <f ca="1">IFERROR(__xludf.DUMMYFUNCTION("""COMPUTED_VALUE"""),"01604")</f>
        <v>01604</v>
      </c>
      <c r="G122" s="2"/>
      <c r="H122" s="2"/>
      <c r="I122" s="2"/>
    </row>
    <row r="123" spans="1:9" ht="13" x14ac:dyDescent="0.3">
      <c r="A123" s="2" t="str">
        <f ca="1">IFERROR(__xludf.DUMMYFUNCTION("""COMPUTED_VALUE"""),"CREATIVE OFFICE ENVIRONMENTS-VA")</f>
        <v>CREATIVE OFFICE ENVIRONMENTS-VA</v>
      </c>
      <c r="B123" s="3" t="str">
        <f ca="1">IFERROR(__xludf.DUMMYFUNCTION("""COMPUTED_VALUE"""),"s")</f>
        <v>s</v>
      </c>
      <c r="C123" s="2" t="str">
        <f ca="1">IFERROR(__xludf.DUMMYFUNCTION("""COMPUTED_VALUE"""),"*11798 N LAKERIDGE PKWY")</f>
        <v>*11798 N LAKERIDGE PKWY</v>
      </c>
      <c r="D123" s="2" t="str">
        <f ca="1">IFERROR(__xludf.DUMMYFUNCTION("""COMPUTED_VALUE"""),"ASHLAND")</f>
        <v>ASHLAND</v>
      </c>
      <c r="E123" s="2" t="str">
        <f ca="1">IFERROR(__xludf.DUMMYFUNCTION("""COMPUTED_VALUE"""),"VA")</f>
        <v>VA</v>
      </c>
      <c r="F123" s="4" t="str">
        <f ca="1">IFERROR(__xludf.DUMMYFUNCTION("""COMPUTED_VALUE"""),"23005")</f>
        <v>23005</v>
      </c>
      <c r="G123" s="2"/>
      <c r="H123" s="2"/>
      <c r="I123" s="2"/>
    </row>
    <row r="124" spans="1:9" ht="13" x14ac:dyDescent="0.3">
      <c r="A124" s="2" t="str">
        <f ca="1">IFERROR(__xludf.DUMMYFUNCTION("""COMPUTED_VALUE"""),"CREATIVE OFFICE FURNISHINGS")</f>
        <v>CREATIVE OFFICE FURNISHINGS</v>
      </c>
      <c r="B124" s="3"/>
      <c r="C124" s="2" t="str">
        <f ca="1">IFERROR(__xludf.DUMMYFUNCTION("""COMPUTED_VALUE"""),"*721 LEGION WAY SE")</f>
        <v>*721 LEGION WAY SE</v>
      </c>
      <c r="D124" s="2" t="str">
        <f ca="1">IFERROR(__xludf.DUMMYFUNCTION("""COMPUTED_VALUE"""),"OLYMPIA")</f>
        <v>OLYMPIA</v>
      </c>
      <c r="E124" s="2" t="str">
        <f ca="1">IFERROR(__xludf.DUMMYFUNCTION("""COMPUTED_VALUE"""),"WA")</f>
        <v>WA</v>
      </c>
      <c r="F124" s="4" t="str">
        <f ca="1">IFERROR(__xludf.DUMMYFUNCTION("""COMPUTED_VALUE"""),"98501")</f>
        <v>98501</v>
      </c>
      <c r="G124" s="2"/>
      <c r="H124" s="2"/>
      <c r="I124" s="2"/>
    </row>
    <row r="125" spans="1:9" ht="13" x14ac:dyDescent="0.3">
      <c r="A125" s="2" t="str">
        <f ca="1">IFERROR(__xludf.DUMMYFUNCTION("""COMPUTED_VALUE"""),"CREATIVE OFFICE INTERIORS")</f>
        <v>CREATIVE OFFICE INTERIORS</v>
      </c>
      <c r="B125" s="3"/>
      <c r="C125" s="2" t="str">
        <f ca="1">IFERROR(__xludf.DUMMYFUNCTION("""COMPUTED_VALUE"""),"*141 ELLIOTT ST E")</f>
        <v>*141 ELLIOTT ST E</v>
      </c>
      <c r="D125" s="2" t="str">
        <f ca="1">IFERROR(__xludf.DUMMYFUNCTION("""COMPUTED_VALUE"""),"HARTFORD")</f>
        <v>HARTFORD</v>
      </c>
      <c r="E125" s="2" t="str">
        <f ca="1">IFERROR(__xludf.DUMMYFUNCTION("""COMPUTED_VALUE"""),"CT")</f>
        <v>CT</v>
      </c>
      <c r="F125" s="4" t="str">
        <f ca="1">IFERROR(__xludf.DUMMYFUNCTION("""COMPUTED_VALUE"""),"06114")</f>
        <v>06114</v>
      </c>
      <c r="G125" s="2"/>
      <c r="H125" s="2"/>
      <c r="I125" s="2"/>
    </row>
    <row r="126" spans="1:9" ht="13" x14ac:dyDescent="0.3">
      <c r="A126" s="2" t="str">
        <f ca="1">IFERROR(__xludf.DUMMYFUNCTION("""COMPUTED_VALUE"""),"CREATIVE OFFICE SOLUTIONS &amp; MORE INC")</f>
        <v>CREATIVE OFFICE SOLUTIONS &amp; MORE INC</v>
      </c>
      <c r="B126" s="3"/>
      <c r="C126" s="2" t="str">
        <f ca="1">IFERROR(__xludf.DUMMYFUNCTION("""COMPUTED_VALUE"""),"*12900 W DIXIE HWY")</f>
        <v>*12900 W DIXIE HWY</v>
      </c>
      <c r="D126" s="2" t="str">
        <f ca="1">IFERROR(__xludf.DUMMYFUNCTION("""COMPUTED_VALUE"""),"NORTH MIAMI")</f>
        <v>NORTH MIAMI</v>
      </c>
      <c r="E126" s="2" t="str">
        <f ca="1">IFERROR(__xludf.DUMMYFUNCTION("""COMPUTED_VALUE"""),"FL")</f>
        <v>FL</v>
      </c>
      <c r="F126" s="4" t="str">
        <f ca="1">IFERROR(__xludf.DUMMYFUNCTION("""COMPUTED_VALUE"""),"33161")</f>
        <v>33161</v>
      </c>
      <c r="G126" s="2"/>
      <c r="H126" s="2"/>
      <c r="I126" s="2"/>
    </row>
    <row r="127" spans="1:9" ht="13" x14ac:dyDescent="0.3">
      <c r="A127" s="2" t="str">
        <f ca="1">IFERROR(__xludf.DUMMYFUNCTION("""COMPUTED_VALUE"""),"CSI FULLMER")</f>
        <v>CSI FULLMER</v>
      </c>
      <c r="B127" s="3" t="str">
        <f ca="1">IFERROR(__xludf.DUMMYFUNCTION("""COMPUTED_VALUE"""),"DVBE, SB")</f>
        <v>DVBE, SB</v>
      </c>
      <c r="C127" s="2" t="str">
        <f ca="1">IFERROR(__xludf.DUMMYFUNCTION("""COMPUTED_VALUE"""),"*131 N EL MOLINO AVE #170")</f>
        <v>*131 N EL MOLINO AVE #170</v>
      </c>
      <c r="D127" s="2" t="str">
        <f ca="1">IFERROR(__xludf.DUMMYFUNCTION("""COMPUTED_VALUE"""),"PASADENA")</f>
        <v>PASADENA</v>
      </c>
      <c r="E127" s="2" t="str">
        <f ca="1">IFERROR(__xludf.DUMMYFUNCTION("""COMPUTED_VALUE"""),"CA")</f>
        <v>CA</v>
      </c>
      <c r="F127" s="4" t="str">
        <f ca="1">IFERROR(__xludf.DUMMYFUNCTION("""COMPUTED_VALUE"""),"91101")</f>
        <v>91101</v>
      </c>
      <c r="G127" s="2"/>
      <c r="H127" s="2"/>
      <c r="I127" s="2"/>
    </row>
    <row r="128" spans="1:9" ht="13" x14ac:dyDescent="0.3">
      <c r="A128" s="2" t="str">
        <f ca="1">IFERROR(__xludf.DUMMYFUNCTION("""COMPUTED_VALUE"""),"CULTURA")</f>
        <v>CULTURA</v>
      </c>
      <c r="B128" s="3" t="str">
        <f ca="1">IFERROR(__xludf.DUMMYFUNCTION("""COMPUTED_VALUE"""),"WO")</f>
        <v>WO</v>
      </c>
      <c r="C128" s="2" t="str">
        <f ca="1">IFERROR(__xludf.DUMMYFUNCTION("""COMPUTED_VALUE"""),"*5010 SHOREHAM PL STE 110")</f>
        <v>*5010 SHOREHAM PL STE 110</v>
      </c>
      <c r="D128" s="2" t="str">
        <f ca="1">IFERROR(__xludf.DUMMYFUNCTION("""COMPUTED_VALUE"""),"SAN DIEGO")</f>
        <v>SAN DIEGO</v>
      </c>
      <c r="E128" s="2" t="str">
        <f ca="1">IFERROR(__xludf.DUMMYFUNCTION("""COMPUTED_VALUE"""),"CA")</f>
        <v>CA</v>
      </c>
      <c r="F128" s="4" t="str">
        <f ca="1">IFERROR(__xludf.DUMMYFUNCTION("""COMPUTED_VALUE"""),"92122")</f>
        <v>92122</v>
      </c>
      <c r="G128" s="2"/>
      <c r="H128" s="2"/>
      <c r="I128" s="2"/>
    </row>
    <row r="129" spans="1:9" ht="13" x14ac:dyDescent="0.3">
      <c r="A129" s="2" t="str">
        <f ca="1">IFERROR(__xludf.DUMMYFUNCTION("""COMPUTED_VALUE"""),"CWC FURNITURE")</f>
        <v>CWC FURNITURE</v>
      </c>
      <c r="B129" s="3"/>
      <c r="C129" s="2" t="str">
        <f ca="1">IFERROR(__xludf.DUMMYFUNCTION("""COMPUTED_VALUE"""),"*4343 NE EXPY")</f>
        <v>*4343 NE EXPY</v>
      </c>
      <c r="D129" s="2" t="str">
        <f ca="1">IFERROR(__xludf.DUMMYFUNCTION("""COMPUTED_VALUE"""),"ATLANTA")</f>
        <v>ATLANTA</v>
      </c>
      <c r="E129" s="2" t="str">
        <f ca="1">IFERROR(__xludf.DUMMYFUNCTION("""COMPUTED_VALUE"""),"GA")</f>
        <v>GA</v>
      </c>
      <c r="F129" s="4" t="str">
        <f ca="1">IFERROR(__xludf.DUMMYFUNCTION("""COMPUTED_VALUE"""),"30340")</f>
        <v>30340</v>
      </c>
      <c r="G129" s="2"/>
      <c r="H129" s="2"/>
      <c r="I129" s="2"/>
    </row>
    <row r="130" spans="1:9" ht="13" x14ac:dyDescent="0.3">
      <c r="A130" s="2" t="str">
        <f ca="1">IFERROR(__xludf.DUMMYFUNCTION("""COMPUTED_VALUE"""),"D&amp;R OFFICE WORKS INC")</f>
        <v>D&amp;R OFFICE WORKS INC</v>
      </c>
      <c r="B130" s="3"/>
      <c r="C130" s="2" t="str">
        <f ca="1">IFERROR(__xludf.DUMMYFUNCTION("""COMPUTED_VALUE"""),"*9956 BALDWIN PL")</f>
        <v>*9956 BALDWIN PL</v>
      </c>
      <c r="D130" s="2" t="str">
        <f ca="1">IFERROR(__xludf.DUMMYFUNCTION("""COMPUTED_VALUE"""),"EL MONTE")</f>
        <v>EL MONTE</v>
      </c>
      <c r="E130" s="2" t="str">
        <f ca="1">IFERROR(__xludf.DUMMYFUNCTION("""COMPUTED_VALUE"""),"CA")</f>
        <v>CA</v>
      </c>
      <c r="F130" s="4" t="str">
        <f ca="1">IFERROR(__xludf.DUMMYFUNCTION("""COMPUTED_VALUE"""),"91731")</f>
        <v>91731</v>
      </c>
      <c r="G130" s="2"/>
      <c r="H130" s="2"/>
      <c r="I130" s="2"/>
    </row>
    <row r="131" spans="1:9" ht="13" x14ac:dyDescent="0.3">
      <c r="A131" s="2" t="str">
        <f ca="1">IFERROR(__xludf.DUMMYFUNCTION("""COMPUTED_VALUE"""),"D&amp;T WHOLESALE OFFICE FURNITURE")</f>
        <v>D&amp;T WHOLESALE OFFICE FURNITURE</v>
      </c>
      <c r="B131" s="3"/>
      <c r="C131" s="2" t="str">
        <f ca="1">IFERROR(__xludf.DUMMYFUNCTION("""COMPUTED_VALUE"""),"*1219 MACARTHUR DR")</f>
        <v>*1219 MACARTHUR DR</v>
      </c>
      <c r="D131" s="2" t="str">
        <f ca="1">IFERROR(__xludf.DUMMYFUNCTION("""COMPUTED_VALUE"""),"ALEXANDRIA")</f>
        <v>ALEXANDRIA</v>
      </c>
      <c r="E131" s="2" t="str">
        <f ca="1">IFERROR(__xludf.DUMMYFUNCTION("""COMPUTED_VALUE"""),"LA")</f>
        <v>LA</v>
      </c>
      <c r="F131" s="4" t="str">
        <f ca="1">IFERROR(__xludf.DUMMYFUNCTION("""COMPUTED_VALUE"""),"71303")</f>
        <v>71303</v>
      </c>
      <c r="G131" s="2"/>
      <c r="H131" s="2"/>
      <c r="I131" s="2"/>
    </row>
    <row r="132" spans="1:9" ht="13" x14ac:dyDescent="0.3">
      <c r="A132" s="2" t="str">
        <f ca="1">IFERROR(__xludf.DUMMYFUNCTION("""COMPUTED_VALUE"""),"DANCKER SELLEW &amp; DOUGLAS-CAP HEIGHTS MD")</f>
        <v>DANCKER SELLEW &amp; DOUGLAS-CAP HEIGHTS MD</v>
      </c>
      <c r="B132" s="3"/>
      <c r="C132" s="2" t="str">
        <f ca="1">IFERROR(__xludf.DUMMYFUNCTION("""COMPUTED_VALUE"""),"*9200 ALAKING CT STE 100")</f>
        <v>*9200 ALAKING CT STE 100</v>
      </c>
      <c r="D132" s="2" t="str">
        <f ca="1">IFERROR(__xludf.DUMMYFUNCTION("""COMPUTED_VALUE"""),"CAPITOL HEIGHTS")</f>
        <v>CAPITOL HEIGHTS</v>
      </c>
      <c r="E132" s="2" t="str">
        <f ca="1">IFERROR(__xludf.DUMMYFUNCTION("""COMPUTED_VALUE"""),"MD")</f>
        <v>MD</v>
      </c>
      <c r="F132" s="4" t="str">
        <f ca="1">IFERROR(__xludf.DUMMYFUNCTION("""COMPUTED_VALUE"""),"20743")</f>
        <v>20743</v>
      </c>
      <c r="G132" s="2"/>
      <c r="H132" s="2"/>
      <c r="I132" s="2"/>
    </row>
    <row r="133" spans="1:9" ht="13" x14ac:dyDescent="0.3">
      <c r="A133" s="2" t="str">
        <f ca="1">IFERROR(__xludf.DUMMYFUNCTION("""COMPUTED_VALUE"""),"DEBNER &amp; COMPANY")</f>
        <v>DEBNER &amp; COMPANY</v>
      </c>
      <c r="B133" s="3"/>
      <c r="C133" s="2" t="str">
        <f ca="1">IFERROR(__xludf.DUMMYFUNCTION("""COMPUTED_VALUE"""),"*6930 PORTWEST DR")</f>
        <v>*6930 PORTWEST DR</v>
      </c>
      <c r="D133" s="2" t="str">
        <f ca="1">IFERROR(__xludf.DUMMYFUNCTION("""COMPUTED_VALUE"""),"HOUSTON")</f>
        <v>HOUSTON</v>
      </c>
      <c r="E133" s="2" t="str">
        <f ca="1">IFERROR(__xludf.DUMMYFUNCTION("""COMPUTED_VALUE"""),"TX")</f>
        <v>TX</v>
      </c>
      <c r="F133" s="4" t="str">
        <f ca="1">IFERROR(__xludf.DUMMYFUNCTION("""COMPUTED_VALUE"""),"77024")</f>
        <v>77024</v>
      </c>
      <c r="G133" s="2"/>
      <c r="H133" s="2"/>
      <c r="I133" s="2"/>
    </row>
    <row r="134" spans="1:9" ht="13" x14ac:dyDescent="0.3">
      <c r="A134" s="2" t="str">
        <f ca="1">IFERROR(__xludf.DUMMYFUNCTION("""COMPUTED_VALUE"""),"DECLERCQ OFFICE GROUP-ROWAYTON")</f>
        <v>DECLERCQ OFFICE GROUP-ROWAYTON</v>
      </c>
      <c r="B134" s="3"/>
      <c r="C134" s="2" t="str">
        <f ca="1">IFERROR(__xludf.DUMMYFUNCTION("""COMPUTED_VALUE"""),"*112 ROWAYTON AVE")</f>
        <v>*112 ROWAYTON AVE</v>
      </c>
      <c r="D134" s="2" t="str">
        <f ca="1">IFERROR(__xludf.DUMMYFUNCTION("""COMPUTED_VALUE"""),"ROWAYTON")</f>
        <v>ROWAYTON</v>
      </c>
      <c r="E134" s="2" t="str">
        <f ca="1">IFERROR(__xludf.DUMMYFUNCTION("""COMPUTED_VALUE"""),"CT")</f>
        <v>CT</v>
      </c>
      <c r="F134" s="4" t="str">
        <f ca="1">IFERROR(__xludf.DUMMYFUNCTION("""COMPUTED_VALUE"""),"06853")</f>
        <v>06853</v>
      </c>
      <c r="G134" s="2"/>
      <c r="H134" s="2"/>
      <c r="I134" s="2"/>
    </row>
    <row r="135" spans="1:9" ht="13" x14ac:dyDescent="0.3">
      <c r="A135" s="2" t="str">
        <f ca="1">IFERROR(__xludf.DUMMYFUNCTION("""COMPUTED_VALUE"""),"DEKALB OFFICE GEORGIA")</f>
        <v>DEKALB OFFICE GEORGIA</v>
      </c>
      <c r="B135" s="3" t="str">
        <f ca="1">IFERROR(__xludf.DUMMYFUNCTION("""COMPUTED_VALUE"""),"s/v")</f>
        <v>s/v</v>
      </c>
      <c r="C135" s="2" t="str">
        <f ca="1">IFERROR(__xludf.DUMMYFUNCTION("""COMPUTED_VALUE"""),"*1320 RIDGELAND PKWY")</f>
        <v>*1320 RIDGELAND PKWY</v>
      </c>
      <c r="D135" s="2" t="str">
        <f ca="1">IFERROR(__xludf.DUMMYFUNCTION("""COMPUTED_VALUE"""),"ALPHARETTA")</f>
        <v>ALPHARETTA</v>
      </c>
      <c r="E135" s="2" t="str">
        <f ca="1">IFERROR(__xludf.DUMMYFUNCTION("""COMPUTED_VALUE"""),"GA")</f>
        <v>GA</v>
      </c>
      <c r="F135" s="4" t="str">
        <f ca="1">IFERROR(__xludf.DUMMYFUNCTION("""COMPUTED_VALUE"""),"30004")</f>
        <v>30004</v>
      </c>
      <c r="G135" s="2"/>
      <c r="H135" s="2"/>
      <c r="I135" s="2"/>
    </row>
    <row r="136" spans="1:9" ht="13" x14ac:dyDescent="0.3">
      <c r="A136" s="2" t="str">
        <f ca="1">IFERROR(__xludf.DUMMYFUNCTION("""COMPUTED_VALUE"""),"DESIGN RESOURCE GROUP - DENVER")</f>
        <v>DESIGN RESOURCE GROUP - DENVER</v>
      </c>
      <c r="B136" s="3"/>
      <c r="C136" s="2" t="str">
        <f ca="1">IFERROR(__xludf.DUMMYFUNCTION("""COMPUTED_VALUE"""),"*1111 BROADWAY STE 408")</f>
        <v>*1111 BROADWAY STE 408</v>
      </c>
      <c r="D136" s="2" t="str">
        <f ca="1">IFERROR(__xludf.DUMMYFUNCTION("""COMPUTED_VALUE"""),"DENVER")</f>
        <v>DENVER</v>
      </c>
      <c r="E136" s="2" t="str">
        <f ca="1">IFERROR(__xludf.DUMMYFUNCTION("""COMPUTED_VALUE"""),"CO")</f>
        <v>CO</v>
      </c>
      <c r="F136" s="4" t="str">
        <f ca="1">IFERROR(__xludf.DUMMYFUNCTION("""COMPUTED_VALUE"""),"80203")</f>
        <v>80203</v>
      </c>
      <c r="G136" s="2"/>
      <c r="H136" s="2"/>
      <c r="I136" s="2"/>
    </row>
    <row r="137" spans="1:9" ht="13" x14ac:dyDescent="0.3">
      <c r="A137" s="2" t="str">
        <f ca="1">IFERROR(__xludf.DUMMYFUNCTION("""COMPUTED_VALUE"""),"DIVERSIFIED RESOURCE GROUP")</f>
        <v>DIVERSIFIED RESOURCE GROUP</v>
      </c>
      <c r="B137" s="3"/>
      <c r="C137" s="2" t="str">
        <f ca="1">IFERROR(__xludf.DUMMYFUNCTION("""COMPUTED_VALUE"""),"*6410 ATLANTIC BLVD STE 340")</f>
        <v>*6410 ATLANTIC BLVD STE 340</v>
      </c>
      <c r="D137" s="2" t="str">
        <f ca="1">IFERROR(__xludf.DUMMYFUNCTION("""COMPUTED_VALUE"""),"PEACHTREE CORNERS")</f>
        <v>PEACHTREE CORNERS</v>
      </c>
      <c r="E137" s="2" t="str">
        <f ca="1">IFERROR(__xludf.DUMMYFUNCTION("""COMPUTED_VALUE"""),"GA")</f>
        <v>GA</v>
      </c>
      <c r="F137" s="4" t="str">
        <f ca="1">IFERROR(__xludf.DUMMYFUNCTION("""COMPUTED_VALUE"""),"30071")</f>
        <v>30071</v>
      </c>
      <c r="G137" s="2"/>
      <c r="H137" s="2"/>
      <c r="I137" s="2"/>
    </row>
    <row r="138" spans="1:9" ht="13" x14ac:dyDescent="0.3">
      <c r="A138" s="2" t="str">
        <f ca="1">IFERROR(__xludf.DUMMYFUNCTION("""COMPUTED_VALUE"""),"DK WORKSPACES")</f>
        <v>DK WORKSPACES</v>
      </c>
      <c r="B138" s="3"/>
      <c r="C138" s="2" t="str">
        <f ca="1">IFERROR(__xludf.DUMMYFUNCTION("""COMPUTED_VALUE"""),"*2809 EMERYWOOD PKWY STE 260")</f>
        <v>*2809 EMERYWOOD PKWY STE 260</v>
      </c>
      <c r="D138" s="2" t="str">
        <f ca="1">IFERROR(__xludf.DUMMYFUNCTION("""COMPUTED_VALUE"""),"RICHMOND")</f>
        <v>RICHMOND</v>
      </c>
      <c r="E138" s="2" t="str">
        <f ca="1">IFERROR(__xludf.DUMMYFUNCTION("""COMPUTED_VALUE"""),"VA")</f>
        <v>VA</v>
      </c>
      <c r="F138" s="4" t="str">
        <f ca="1">IFERROR(__xludf.DUMMYFUNCTION("""COMPUTED_VALUE"""),"23294")</f>
        <v>23294</v>
      </c>
      <c r="G138" s="2"/>
      <c r="H138" s="2"/>
      <c r="I138" s="2"/>
    </row>
    <row r="139" spans="1:9" ht="13" x14ac:dyDescent="0.3">
      <c r="A139" s="2" t="str">
        <f ca="1">IFERROR(__xludf.DUMMYFUNCTION("""COMPUTED_VALUE"""),"DOURON INC (ABF)")</f>
        <v>DOURON INC (ABF)</v>
      </c>
      <c r="B139" s="3"/>
      <c r="C139" s="2" t="str">
        <f ca="1">IFERROR(__xludf.DUMMYFUNCTION("""COMPUTED_VALUE"""),"*10 PAINTERS MILL RD")</f>
        <v>*10 PAINTERS MILL RD</v>
      </c>
      <c r="D139" s="2" t="str">
        <f ca="1">IFERROR(__xludf.DUMMYFUNCTION("""COMPUTED_VALUE"""),"OWINGS MILLS")</f>
        <v>OWINGS MILLS</v>
      </c>
      <c r="E139" s="2" t="str">
        <f ca="1">IFERROR(__xludf.DUMMYFUNCTION("""COMPUTED_VALUE"""),"MD")</f>
        <v>MD</v>
      </c>
      <c r="F139" s="4" t="str">
        <f ca="1">IFERROR(__xludf.DUMMYFUNCTION("""COMPUTED_VALUE"""),"21117")</f>
        <v>21117</v>
      </c>
      <c r="G139" s="2"/>
      <c r="H139" s="2"/>
      <c r="I139" s="2"/>
    </row>
    <row r="140" spans="1:9" ht="13" x14ac:dyDescent="0.3">
      <c r="A140" s="2" t="str">
        <f ca="1">IFERROR(__xludf.DUMMYFUNCTION("""COMPUTED_VALUE"""),"DRB BUSINESS INTERIORS")</f>
        <v>DRB BUSINESS INTERIORS</v>
      </c>
      <c r="B140" s="3"/>
      <c r="C140" s="2" t="str">
        <f ca="1">IFERROR(__xludf.DUMMYFUNCTION("""COMPUTED_VALUE"""),"*153 REGENT ST")</f>
        <v>*153 REGENT ST</v>
      </c>
      <c r="D140" s="2" t="str">
        <f ca="1">IFERROR(__xludf.DUMMYFUNCTION("""COMPUTED_VALUE"""),"SARATOGA SPRINGS")</f>
        <v>SARATOGA SPRINGS</v>
      </c>
      <c r="E140" s="2" t="str">
        <f ca="1">IFERROR(__xludf.DUMMYFUNCTION("""COMPUTED_VALUE"""),"NY")</f>
        <v>NY</v>
      </c>
      <c r="F140" s="4" t="str">
        <f ca="1">IFERROR(__xludf.DUMMYFUNCTION("""COMPUTED_VALUE"""),"12866")</f>
        <v>12866</v>
      </c>
      <c r="G140" s="2"/>
      <c r="H140" s="2"/>
      <c r="I140" s="2"/>
    </row>
    <row r="141" spans="1:9" ht="13" x14ac:dyDescent="0.3">
      <c r="A141" s="2" t="str">
        <f ca="1">IFERROR(__xludf.DUMMYFUNCTION("""COMPUTED_VALUE"""),"DUNDAS OFC INTERIORS INC-HELENA")</f>
        <v>DUNDAS OFC INTERIORS INC-HELENA</v>
      </c>
      <c r="B141" s="3"/>
      <c r="C141" s="2" t="str">
        <f ca="1">IFERROR(__xludf.DUMMYFUNCTION("""COMPUTED_VALUE"""),"*3388 HWY 12 E")</f>
        <v>*3388 HWY 12 E</v>
      </c>
      <c r="D141" s="2" t="str">
        <f ca="1">IFERROR(__xludf.DUMMYFUNCTION("""COMPUTED_VALUE"""),"HELENA")</f>
        <v>HELENA</v>
      </c>
      <c r="E141" s="2" t="str">
        <f ca="1">IFERROR(__xludf.DUMMYFUNCTION("""COMPUTED_VALUE"""),"MT")</f>
        <v>MT</v>
      </c>
      <c r="F141" s="4" t="str">
        <f ca="1">IFERROR(__xludf.DUMMYFUNCTION("""COMPUTED_VALUE"""),"59601")</f>
        <v>59601</v>
      </c>
      <c r="G141" s="2"/>
      <c r="H141" s="2"/>
      <c r="I141" s="2"/>
    </row>
    <row r="142" spans="1:9" ht="13" x14ac:dyDescent="0.3">
      <c r="A142" s="2" t="str">
        <f ca="1">IFERROR(__xludf.DUMMYFUNCTION("""COMPUTED_VALUE"""),"EAKES OFFICE SOLUTIONS")</f>
        <v>EAKES OFFICE SOLUTIONS</v>
      </c>
      <c r="B142" s="3"/>
      <c r="C142" s="2" t="str">
        <f ca="1">IFERROR(__xludf.DUMMYFUNCTION("""COMPUTED_VALUE"""),"*P O BOX 2098")</f>
        <v>*P O BOX 2098</v>
      </c>
      <c r="D142" s="2" t="str">
        <f ca="1">IFERROR(__xludf.DUMMYFUNCTION("""COMPUTED_VALUE"""),"GRAND ISLAND")</f>
        <v>GRAND ISLAND</v>
      </c>
      <c r="E142" s="2" t="str">
        <f ca="1">IFERROR(__xludf.DUMMYFUNCTION("""COMPUTED_VALUE"""),"NE")</f>
        <v>NE</v>
      </c>
      <c r="F142" s="4" t="str">
        <f ca="1">IFERROR(__xludf.DUMMYFUNCTION("""COMPUTED_VALUE"""),"68802-2098")</f>
        <v>68802-2098</v>
      </c>
      <c r="G142" s="2"/>
      <c r="H142" s="2"/>
      <c r="I142" s="2"/>
    </row>
    <row r="143" spans="1:9" ht="13" x14ac:dyDescent="0.3">
      <c r="A143" s="2" t="str">
        <f ca="1">IFERROR(__xludf.DUMMYFUNCTION("""COMPUTED_VALUE"""),"EDUCATIONAL FURNITURE LTD")</f>
        <v>EDUCATIONAL FURNITURE LTD</v>
      </c>
      <c r="B143" s="3"/>
      <c r="C143" s="2" t="str">
        <f ca="1">IFERROR(__xludf.DUMMYFUNCTION("""COMPUTED_VALUE"""),"*620 E 18TH ST")</f>
        <v>*620 E 18TH ST</v>
      </c>
      <c r="D143" s="2" t="str">
        <f ca="1">IFERROR(__xludf.DUMMYFUNCTION("""COMPUTED_VALUE"""),"MUNCIE")</f>
        <v>MUNCIE</v>
      </c>
      <c r="E143" s="2" t="str">
        <f ca="1">IFERROR(__xludf.DUMMYFUNCTION("""COMPUTED_VALUE"""),"IN")</f>
        <v>IN</v>
      </c>
      <c r="F143" s="4" t="str">
        <f ca="1">IFERROR(__xludf.DUMMYFUNCTION("""COMPUTED_VALUE"""),"47302")</f>
        <v>47302</v>
      </c>
      <c r="G143" s="2"/>
      <c r="H143" s="2"/>
      <c r="I143" s="2"/>
    </row>
    <row r="144" spans="1:9" ht="13" x14ac:dyDescent="0.3">
      <c r="A144" s="2" t="str">
        <f ca="1">IFERROR(__xludf.DUMMYFUNCTION("""COMPUTED_VALUE"""),"EGYPTIAN BUSINESS FURNITURE")</f>
        <v>EGYPTIAN BUSINESS FURNITURE</v>
      </c>
      <c r="B144" s="3"/>
      <c r="C144" s="2" t="str">
        <f ca="1">IFERROR(__xludf.DUMMYFUNCTION("""COMPUTED_VALUE"""),"*129 W MAIN ST")</f>
        <v>*129 W MAIN ST</v>
      </c>
      <c r="D144" s="2" t="str">
        <f ca="1">IFERROR(__xludf.DUMMYFUNCTION("""COMPUTED_VALUE"""),"BELLEVILLE")</f>
        <v>BELLEVILLE</v>
      </c>
      <c r="E144" s="2" t="str">
        <f ca="1">IFERROR(__xludf.DUMMYFUNCTION("""COMPUTED_VALUE"""),"IL")</f>
        <v>IL</v>
      </c>
      <c r="F144" s="4" t="str">
        <f ca="1">IFERROR(__xludf.DUMMYFUNCTION("""COMPUTED_VALUE"""),"62220")</f>
        <v>62220</v>
      </c>
      <c r="G144" s="2"/>
      <c r="H144" s="2"/>
      <c r="I144" s="2"/>
    </row>
    <row r="145" spans="1:9" ht="13" x14ac:dyDescent="0.3">
      <c r="A145" s="2" t="str">
        <f ca="1">IFERROR(__xludf.DUMMYFUNCTION("""COMPUTED_VALUE"""),"ELEMENTS")</f>
        <v>ELEMENTS</v>
      </c>
      <c r="B145" s="3" t="str">
        <f ca="1">IFERROR(__xludf.DUMMYFUNCTION("""COMPUTED_VALUE"""),"WO")</f>
        <v>WO</v>
      </c>
      <c r="C145" s="2" t="str">
        <f ca="1">IFERROR(__xludf.DUMMYFUNCTION("""COMPUTED_VALUE"""),"*2501 BLAKE ST")</f>
        <v>*2501 BLAKE ST</v>
      </c>
      <c r="D145" s="2" t="str">
        <f ca="1">IFERROR(__xludf.DUMMYFUNCTION("""COMPUTED_VALUE"""),"DENVER")</f>
        <v>DENVER</v>
      </c>
      <c r="E145" s="2" t="str">
        <f ca="1">IFERROR(__xludf.DUMMYFUNCTION("""COMPUTED_VALUE"""),"CO")</f>
        <v>CO</v>
      </c>
      <c r="F145" s="4" t="str">
        <f ca="1">IFERROR(__xludf.DUMMYFUNCTION("""COMPUTED_VALUE"""),"80205")</f>
        <v>80205</v>
      </c>
      <c r="G145" s="2"/>
      <c r="H145" s="2"/>
      <c r="I145" s="2"/>
    </row>
    <row r="146" spans="1:9" ht="13" x14ac:dyDescent="0.3">
      <c r="A146" s="2" t="str">
        <f ca="1">IFERROR(__xludf.DUMMYFUNCTION("""COMPUTED_VALUE"""),"EMMONS BUSINESS INTERIORS LLC")</f>
        <v>EMMONS BUSINESS INTERIORS LLC</v>
      </c>
      <c r="B146" s="3"/>
      <c r="C146" s="2" t="str">
        <f ca="1">IFERROR(__xludf.DUMMYFUNCTION("""COMPUTED_VALUE"""),"*1575 COUNTY RD XX")</f>
        <v>*1575 COUNTY RD XX</v>
      </c>
      <c r="D146" s="2" t="str">
        <f ca="1">IFERROR(__xludf.DUMMYFUNCTION("""COMPUTED_VALUE"""),"ROTHSCHILD")</f>
        <v>ROTHSCHILD</v>
      </c>
      <c r="E146" s="2" t="str">
        <f ca="1">IFERROR(__xludf.DUMMYFUNCTION("""COMPUTED_VALUE"""),"WI")</f>
        <v>WI</v>
      </c>
      <c r="F146" s="4" t="str">
        <f ca="1">IFERROR(__xludf.DUMMYFUNCTION("""COMPUTED_VALUE"""),"54474")</f>
        <v>54474</v>
      </c>
      <c r="G146" s="2"/>
      <c r="H146" s="2"/>
      <c r="I146" s="2"/>
    </row>
    <row r="147" spans="1:9" ht="13" x14ac:dyDescent="0.3">
      <c r="A147" s="2" t="str">
        <f ca="1">IFERROR(__xludf.DUMMYFUNCTION("""COMPUTED_VALUE"""),"EMPIRE OFFICE INC - FL")</f>
        <v>EMPIRE OFFICE INC - FL</v>
      </c>
      <c r="B147" s="3"/>
      <c r="C147" s="2" t="str">
        <f ca="1">IFERROR(__xludf.DUMMYFUNCTION("""COMPUTED_VALUE"""),"*396 ROUTE 6 &amp; 209 STE 3A")</f>
        <v>*396 ROUTE 6 &amp; 209 STE 3A</v>
      </c>
      <c r="D147" s="2" t="str">
        <f ca="1">IFERROR(__xludf.DUMMYFUNCTION("""COMPUTED_VALUE"""),"MILFORD")</f>
        <v>MILFORD</v>
      </c>
      <c r="E147" s="2" t="str">
        <f ca="1">IFERROR(__xludf.DUMMYFUNCTION("""COMPUTED_VALUE"""),"PA")</f>
        <v>PA</v>
      </c>
      <c r="F147" s="4" t="str">
        <f ca="1">IFERROR(__xludf.DUMMYFUNCTION("""COMPUTED_VALUE"""),"18337")</f>
        <v>18337</v>
      </c>
      <c r="G147" s="2"/>
      <c r="H147" s="2"/>
      <c r="I147" s="2"/>
    </row>
    <row r="148" spans="1:9" ht="13" x14ac:dyDescent="0.3">
      <c r="A148" s="2" t="str">
        <f ca="1">IFERROR(__xludf.DUMMYFUNCTION("""COMPUTED_VALUE"""),"ENCOMPAS CORPORATION")</f>
        <v>ENCOMPAS CORPORATION</v>
      </c>
      <c r="B148" s="3"/>
      <c r="C148" s="2" t="str">
        <f ca="1">IFERROR(__xludf.DUMMYFUNCTION("""COMPUTED_VALUE"""),"*1512 GRAND BLVD")</f>
        <v>*1512 GRAND BLVD</v>
      </c>
      <c r="D148" s="2" t="str">
        <f ca="1">IFERROR(__xludf.DUMMYFUNCTION("""COMPUTED_VALUE"""),"KANSAS CITY")</f>
        <v>KANSAS CITY</v>
      </c>
      <c r="E148" s="2" t="str">
        <f ca="1">IFERROR(__xludf.DUMMYFUNCTION("""COMPUTED_VALUE"""),"MO")</f>
        <v>MO</v>
      </c>
      <c r="F148" s="4" t="str">
        <f ca="1">IFERROR(__xludf.DUMMYFUNCTION("""COMPUTED_VALUE"""),"64108")</f>
        <v>64108</v>
      </c>
      <c r="G148" s="2"/>
      <c r="H148" s="2"/>
      <c r="I148" s="2"/>
    </row>
    <row r="149" spans="1:9" ht="39" x14ac:dyDescent="0.3">
      <c r="A149" s="2" t="str">
        <f ca="1">IFERROR(__xludf.DUMMYFUNCTION("""COMPUTED_VALUE"""),"ENRICHING SPACES")</f>
        <v>ENRICHING SPACES</v>
      </c>
      <c r="B149" s="3" t="str">
        <f ca="1">IFERROR(__xludf.DUMMYFUNCTION("""COMPUTED_VALUE"""),"WBE Certified, Ohio Edge, SBE Cincinnati")</f>
        <v>WBE Certified, Ohio Edge, SBE Cincinnati</v>
      </c>
      <c r="C149" s="2" t="str">
        <f ca="1">IFERROR(__xludf.DUMMYFUNCTION("""COMPUTED_VALUE"""),"*1360 KEMPER MEADOW DR")</f>
        <v>*1360 KEMPER MEADOW DR</v>
      </c>
      <c r="D149" s="2" t="str">
        <f ca="1">IFERROR(__xludf.DUMMYFUNCTION("""COMPUTED_VALUE"""),"CINCINNATI")</f>
        <v>CINCINNATI</v>
      </c>
      <c r="E149" s="2" t="str">
        <f ca="1">IFERROR(__xludf.DUMMYFUNCTION("""COMPUTED_VALUE"""),"OH")</f>
        <v>OH</v>
      </c>
      <c r="F149" s="4" t="str">
        <f ca="1">IFERROR(__xludf.DUMMYFUNCTION("""COMPUTED_VALUE"""),"45240")</f>
        <v>45240</v>
      </c>
      <c r="G149" s="2"/>
      <c r="H149" s="2"/>
      <c r="I149" s="2"/>
    </row>
    <row r="150" spans="1:9" ht="13" x14ac:dyDescent="0.3">
      <c r="A150" s="2" t="str">
        <f ca="1">IFERROR(__xludf.DUMMYFUNCTION("""COMPUTED_VALUE"""),"ENVIRONMENTS NW")</f>
        <v>ENVIRONMENTS NW</v>
      </c>
      <c r="B150" s="3"/>
      <c r="C150" s="2" t="str">
        <f ca="1">IFERROR(__xludf.DUMMYFUNCTION("""COMPUTED_VALUE"""),"*707 SE BELMONT")</f>
        <v>*707 SE BELMONT</v>
      </c>
      <c r="D150" s="2" t="str">
        <f ca="1">IFERROR(__xludf.DUMMYFUNCTION("""COMPUTED_VALUE"""),"PORTLAND")</f>
        <v>PORTLAND</v>
      </c>
      <c r="E150" s="2" t="str">
        <f ca="1">IFERROR(__xludf.DUMMYFUNCTION("""COMPUTED_VALUE"""),"OR")</f>
        <v>OR</v>
      </c>
      <c r="F150" s="4" t="str">
        <f ca="1">IFERROR(__xludf.DUMMYFUNCTION("""COMPUTED_VALUE"""),"97214")</f>
        <v>97214</v>
      </c>
      <c r="G150" s="2"/>
      <c r="H150" s="2"/>
      <c r="I150" s="2"/>
    </row>
    <row r="151" spans="1:9" ht="13" x14ac:dyDescent="0.3">
      <c r="A151" s="2" t="str">
        <f ca="1">IFERROR(__xludf.DUMMYFUNCTION("""COMPUTED_VALUE"""),"EVENSONBEST LLC-DC")</f>
        <v>EVENSONBEST LLC-DC</v>
      </c>
      <c r="B151" s="3"/>
      <c r="C151" s="2" t="str">
        <f ca="1">IFERROR(__xludf.DUMMYFUNCTION("""COMPUTED_VALUE"""),"*641 AVE OF THE AMERICAS  6TH FL STE 600")</f>
        <v>*641 AVE OF THE AMERICAS  6TH FL STE 600</v>
      </c>
      <c r="D151" s="2" t="str">
        <f ca="1">IFERROR(__xludf.DUMMYFUNCTION("""COMPUTED_VALUE"""),"NEW YORK")</f>
        <v>NEW YORK</v>
      </c>
      <c r="E151" s="2" t="str">
        <f ca="1">IFERROR(__xludf.DUMMYFUNCTION("""COMPUTED_VALUE"""),"NY")</f>
        <v>NY</v>
      </c>
      <c r="F151" s="4" t="str">
        <f ca="1">IFERROR(__xludf.DUMMYFUNCTION("""COMPUTED_VALUE"""),"10011")</f>
        <v>10011</v>
      </c>
      <c r="G151" s="2"/>
      <c r="H151" s="2"/>
      <c r="I151" s="2"/>
    </row>
    <row r="152" spans="1:9" ht="13" x14ac:dyDescent="0.3">
      <c r="A152" s="2" t="str">
        <f ca="1">IFERROR(__xludf.DUMMYFUNCTION("""COMPUTED_VALUE"""),"EVENSONBEST LLC-NY")</f>
        <v>EVENSONBEST LLC-NY</v>
      </c>
      <c r="B152" s="3"/>
      <c r="C152" s="2" t="str">
        <f ca="1">IFERROR(__xludf.DUMMYFUNCTION("""COMPUTED_VALUE"""),"*641 AVE OF AMERICAS 6TH FL STE 600")</f>
        <v>*641 AVE OF AMERICAS 6TH FL STE 600</v>
      </c>
      <c r="D152" s="2" t="str">
        <f ca="1">IFERROR(__xludf.DUMMYFUNCTION("""COMPUTED_VALUE"""),"NEW YORK")</f>
        <v>NEW YORK</v>
      </c>
      <c r="E152" s="2" t="str">
        <f ca="1">IFERROR(__xludf.DUMMYFUNCTION("""COMPUTED_VALUE"""),"NY")</f>
        <v>NY</v>
      </c>
      <c r="F152" s="4" t="str">
        <f ca="1">IFERROR(__xludf.DUMMYFUNCTION("""COMPUTED_VALUE"""),"10011")</f>
        <v>10011</v>
      </c>
      <c r="G152" s="2"/>
      <c r="H152" s="2"/>
      <c r="I152" s="2"/>
    </row>
    <row r="153" spans="1:9" ht="13" x14ac:dyDescent="0.3">
      <c r="A153" s="2" t="str">
        <f ca="1">IFERROR(__xludf.DUMMYFUNCTION("""COMPUTED_VALUE"""),"EVO BUSINESS ENVIRONMENTS")</f>
        <v>EVO BUSINESS ENVIRONMENTS</v>
      </c>
      <c r="B153" s="3"/>
      <c r="C153" s="2" t="str">
        <f ca="1">IFERROR(__xludf.DUMMYFUNCTION("""COMPUTED_VALUE"""),"*415 N MCKINLEY STE 1250")</f>
        <v>*415 N MCKINLEY STE 1250</v>
      </c>
      <c r="D153" s="2" t="str">
        <f ca="1">IFERROR(__xludf.DUMMYFUNCTION("""COMPUTED_VALUE"""),"LITTLE ROCK")</f>
        <v>LITTLE ROCK</v>
      </c>
      <c r="E153" s="2" t="str">
        <f ca="1">IFERROR(__xludf.DUMMYFUNCTION("""COMPUTED_VALUE"""),"AR")</f>
        <v>AR</v>
      </c>
      <c r="F153" s="4" t="str">
        <f ca="1">IFERROR(__xludf.DUMMYFUNCTION("""COMPUTED_VALUE"""),"72205")</f>
        <v>72205</v>
      </c>
      <c r="G153" s="2"/>
      <c r="H153" s="2"/>
      <c r="I153" s="2"/>
    </row>
    <row r="154" spans="1:9" ht="13" x14ac:dyDescent="0.3">
      <c r="A154" s="2" t="str">
        <f ca="1">IFERROR(__xludf.DUMMYFUNCTION("""COMPUTED_VALUE"""),"EXTERUS BUSINESS FURNITURE")</f>
        <v>EXTERUS BUSINESS FURNITURE</v>
      </c>
      <c r="B154" s="3"/>
      <c r="C154" s="2" t="str">
        <f ca="1">IFERROR(__xludf.DUMMYFUNCTION("""COMPUTED_VALUE"""),"*4750 SHELBURNE RD")</f>
        <v>*4750 SHELBURNE RD</v>
      </c>
      <c r="D154" s="2" t="str">
        <f ca="1">IFERROR(__xludf.DUMMYFUNCTION("""COMPUTED_VALUE"""),"SHELBURNE")</f>
        <v>SHELBURNE</v>
      </c>
      <c r="E154" s="2" t="str">
        <f ca="1">IFERROR(__xludf.DUMMYFUNCTION("""COMPUTED_VALUE"""),"VT")</f>
        <v>VT</v>
      </c>
      <c r="F154" s="4" t="str">
        <f ca="1">IFERROR(__xludf.DUMMYFUNCTION("""COMPUTED_VALUE"""),"05482")</f>
        <v>05482</v>
      </c>
      <c r="G154" s="2"/>
      <c r="H154" s="2"/>
      <c r="I154" s="2"/>
    </row>
    <row r="155" spans="1:9" ht="13" x14ac:dyDescent="0.3">
      <c r="A155" s="2" t="str">
        <f ca="1">IFERROR(__xludf.DUMMYFUNCTION("""COMPUTED_VALUE"""),"FACILITEQ AZ LLC")</f>
        <v>FACILITEQ AZ LLC</v>
      </c>
      <c r="B155" s="3"/>
      <c r="C155" s="2" t="str">
        <f ca="1">IFERROR(__xludf.DUMMYFUNCTION("""COMPUTED_VALUE"""),"*1618 W 12TH PL")</f>
        <v>*1618 W 12TH PL</v>
      </c>
      <c r="D155" s="2" t="str">
        <f ca="1">IFERROR(__xludf.DUMMYFUNCTION("""COMPUTED_VALUE"""),"TEMPE")</f>
        <v>TEMPE</v>
      </c>
      <c r="E155" s="2" t="str">
        <f ca="1">IFERROR(__xludf.DUMMYFUNCTION("""COMPUTED_VALUE"""),"AZ")</f>
        <v>AZ</v>
      </c>
      <c r="F155" s="4" t="str">
        <f ca="1">IFERROR(__xludf.DUMMYFUNCTION("""COMPUTED_VALUE"""),"85281")</f>
        <v>85281</v>
      </c>
      <c r="G155" s="2"/>
      <c r="H155" s="2"/>
      <c r="I155" s="2"/>
    </row>
    <row r="156" spans="1:9" ht="13" x14ac:dyDescent="0.3">
      <c r="A156" s="2" t="str">
        <f ca="1">IFERROR(__xludf.DUMMYFUNCTION("""COMPUTED_VALUE"""),"FACILITIES RESOURCE GROUP INC")</f>
        <v>FACILITIES RESOURCE GROUP INC</v>
      </c>
      <c r="B156" s="3"/>
      <c r="C156" s="2" t="str">
        <f ca="1">IFERROR(__xludf.DUMMYFUNCTION("""COMPUTED_VALUE"""),"*6915 SPANISH FORT  BLVD")</f>
        <v>*6915 SPANISH FORT  BLVD</v>
      </c>
      <c r="D156" s="2" t="str">
        <f ca="1">IFERROR(__xludf.DUMMYFUNCTION("""COMPUTED_VALUE"""),"SPANISH FORT")</f>
        <v>SPANISH FORT</v>
      </c>
      <c r="E156" s="2" t="str">
        <f ca="1">IFERROR(__xludf.DUMMYFUNCTION("""COMPUTED_VALUE"""),"AL")</f>
        <v>AL</v>
      </c>
      <c r="F156" s="4" t="str">
        <f ca="1">IFERROR(__xludf.DUMMYFUNCTION("""COMPUTED_VALUE"""),"36527")</f>
        <v>36527</v>
      </c>
      <c r="G156" s="2"/>
      <c r="H156" s="2"/>
      <c r="I156" s="2"/>
    </row>
    <row r="157" spans="1:9" ht="13" x14ac:dyDescent="0.3">
      <c r="A157" s="2" t="str">
        <f ca="1">IFERROR(__xludf.DUMMYFUNCTION("""COMPUTED_VALUE"""),"FACILITY DESIGNS")</f>
        <v>FACILITY DESIGNS</v>
      </c>
      <c r="B157" s="3" t="str">
        <f ca="1">IFERROR(__xludf.DUMMYFUNCTION("""COMPUTED_VALUE"""),"SB")</f>
        <v>SB</v>
      </c>
      <c r="C157" s="2" t="str">
        <f ca="1">IFERROR(__xludf.DUMMYFUNCTION("""COMPUTED_VALUE"""),"*7511 N PALM BLUFFS AVE STE 101")</f>
        <v>*7511 N PALM BLUFFS AVE STE 101</v>
      </c>
      <c r="D157" s="2" t="str">
        <f ca="1">IFERROR(__xludf.DUMMYFUNCTION("""COMPUTED_VALUE"""),"FRESNO")</f>
        <v>FRESNO</v>
      </c>
      <c r="E157" s="2" t="str">
        <f ca="1">IFERROR(__xludf.DUMMYFUNCTION("""COMPUTED_VALUE"""),"CA")</f>
        <v>CA</v>
      </c>
      <c r="F157" s="4" t="str">
        <f ca="1">IFERROR(__xludf.DUMMYFUNCTION("""COMPUTED_VALUE"""),"93711-6096")</f>
        <v>93711-6096</v>
      </c>
      <c r="G157" s="2"/>
      <c r="H157" s="2"/>
      <c r="I157" s="2"/>
    </row>
    <row r="158" spans="1:9" ht="13" x14ac:dyDescent="0.3">
      <c r="A158" s="2" t="str">
        <f ca="1">IFERROR(__xludf.DUMMYFUNCTION("""COMPUTED_VALUE"""),"FACILITY INTERIORS INC-AUSTIN")</f>
        <v>FACILITY INTERIORS INC-AUSTIN</v>
      </c>
      <c r="B158" s="3"/>
      <c r="C158" s="2" t="str">
        <f ca="1">IFERROR(__xludf.DUMMYFUNCTION("""COMPUTED_VALUE"""),"*6100 W PLANO PKWY #1400")</f>
        <v>*6100 W PLANO PKWY #1400</v>
      </c>
      <c r="D158" s="2" t="str">
        <f ca="1">IFERROR(__xludf.DUMMYFUNCTION("""COMPUTED_VALUE"""),"PLANO")</f>
        <v>PLANO</v>
      </c>
      <c r="E158" s="2" t="str">
        <f ca="1">IFERROR(__xludf.DUMMYFUNCTION("""COMPUTED_VALUE"""),"TX")</f>
        <v>TX</v>
      </c>
      <c r="F158" s="4" t="str">
        <f ca="1">IFERROR(__xludf.DUMMYFUNCTION("""COMPUTED_VALUE"""),"75093")</f>
        <v>75093</v>
      </c>
      <c r="G158" s="2"/>
      <c r="H158" s="2"/>
      <c r="I158" s="2"/>
    </row>
    <row r="159" spans="1:9" ht="13" x14ac:dyDescent="0.3">
      <c r="A159" s="2" t="str">
        <f ca="1">IFERROR(__xludf.DUMMYFUNCTION("""COMPUTED_VALUE"""),"FACILITY SERVICES")</f>
        <v>FACILITY SERVICES</v>
      </c>
      <c r="B159" s="3"/>
      <c r="C159" s="2" t="str">
        <f ca="1">IFERROR(__xludf.DUMMYFUNCTION("""COMPUTED_VALUE"""),"*4770 CAMPUS DR STE 240")</f>
        <v>*4770 CAMPUS DR STE 240</v>
      </c>
      <c r="D159" s="2" t="str">
        <f ca="1">IFERROR(__xludf.DUMMYFUNCTION("""COMPUTED_VALUE"""),"NEWPORT BEACH")</f>
        <v>NEWPORT BEACH</v>
      </c>
      <c r="E159" s="2" t="str">
        <f ca="1">IFERROR(__xludf.DUMMYFUNCTION("""COMPUTED_VALUE"""),"CA")</f>
        <v>CA</v>
      </c>
      <c r="F159" s="4" t="str">
        <f ca="1">IFERROR(__xludf.DUMMYFUNCTION("""COMPUTED_VALUE"""),"92660")</f>
        <v>92660</v>
      </c>
      <c r="G159" s="2"/>
      <c r="H159" s="2"/>
      <c r="I159" s="2"/>
    </row>
    <row r="160" spans="1:9" ht="13" x14ac:dyDescent="0.3">
      <c r="A160" s="2" t="str">
        <f ca="1">IFERROR(__xludf.DUMMYFUNCTION("""COMPUTED_VALUE"""),"FARRELL FLYNNE LLC")</f>
        <v>FARRELL FLYNNE LLC</v>
      </c>
      <c r="B160" s="3"/>
      <c r="C160" s="2" t="str">
        <f ca="1">IFERROR(__xludf.DUMMYFUNCTION("""COMPUTED_VALUE"""),"*251 N AVE WEST 2ND FL")</f>
        <v>*251 N AVE WEST 2ND FL</v>
      </c>
      <c r="D160" s="2" t="str">
        <f ca="1">IFERROR(__xludf.DUMMYFUNCTION("""COMPUTED_VALUE"""),"WESTFIELD")</f>
        <v>WESTFIELD</v>
      </c>
      <c r="E160" s="2" t="str">
        <f ca="1">IFERROR(__xludf.DUMMYFUNCTION("""COMPUTED_VALUE"""),"NJ")</f>
        <v>NJ</v>
      </c>
      <c r="F160" s="4" t="str">
        <f ca="1">IFERROR(__xludf.DUMMYFUNCTION("""COMPUTED_VALUE"""),"07090")</f>
        <v>07090</v>
      </c>
      <c r="G160" s="2"/>
      <c r="H160" s="2"/>
      <c r="I160" s="2"/>
    </row>
    <row r="161" spans="1:9" ht="13" x14ac:dyDescent="0.3">
      <c r="A161" s="2" t="str">
        <f ca="1">IFERROR(__xludf.DUMMYFUNCTION("""COMPUTED_VALUE"""),"FLORIDA BUSINESS INTERIORS - TAMPA BAY (BOS TAMPA)")</f>
        <v>FLORIDA BUSINESS INTERIORS - TAMPA BAY (BOS TAMPA)</v>
      </c>
      <c r="B161" s="3"/>
      <c r="C161" s="2" t="str">
        <f ca="1">IFERROR(__xludf.DUMMYFUNCTION("""COMPUTED_VALUE"""),"*1600 E 8TH AVE STE C-201")</f>
        <v>*1600 E 8TH AVE STE C-201</v>
      </c>
      <c r="D161" s="2" t="str">
        <f ca="1">IFERROR(__xludf.DUMMYFUNCTION("""COMPUTED_VALUE"""),"TAMPA")</f>
        <v>TAMPA</v>
      </c>
      <c r="E161" s="2" t="str">
        <f ca="1">IFERROR(__xludf.DUMMYFUNCTION("""COMPUTED_VALUE"""),"FL")</f>
        <v>FL</v>
      </c>
      <c r="F161" s="4" t="str">
        <f ca="1">IFERROR(__xludf.DUMMYFUNCTION("""COMPUTED_VALUE"""),"33605")</f>
        <v>33605</v>
      </c>
      <c r="G161" s="2"/>
      <c r="H161" s="2"/>
      <c r="I161" s="2"/>
    </row>
    <row r="162" spans="1:9" ht="13" x14ac:dyDescent="0.3">
      <c r="A162" s="2" t="str">
        <f ca="1">IFERROR(__xludf.DUMMYFUNCTION("""COMPUTED_VALUE"""),"FLUID INTERIORS INC")</f>
        <v>FLUID INTERIORS INC</v>
      </c>
      <c r="B162" s="3"/>
      <c r="C162" s="2" t="str">
        <f ca="1">IFERROR(__xludf.DUMMYFUNCTION("""COMPUTED_VALUE"""),"*100 N 6TH ST STE 100A")</f>
        <v>*100 N 6TH ST STE 100A</v>
      </c>
      <c r="D162" s="2" t="str">
        <f ca="1">IFERROR(__xludf.DUMMYFUNCTION("""COMPUTED_VALUE"""),"MINNEAPOLIS")</f>
        <v>MINNEAPOLIS</v>
      </c>
      <c r="E162" s="2" t="str">
        <f ca="1">IFERROR(__xludf.DUMMYFUNCTION("""COMPUTED_VALUE"""),"MN")</f>
        <v>MN</v>
      </c>
      <c r="F162" s="4" t="str">
        <f ca="1">IFERROR(__xludf.DUMMYFUNCTION("""COMPUTED_VALUE"""),"55403")</f>
        <v>55403</v>
      </c>
      <c r="G162" s="2"/>
      <c r="H162" s="2"/>
      <c r="I162" s="2"/>
    </row>
    <row r="163" spans="1:9" ht="13" x14ac:dyDescent="0.3">
      <c r="A163" s="2" t="str">
        <f ca="1">IFERROR(__xludf.DUMMYFUNCTION("""COMPUTED_VALUE"""),"FORWARD SPACE")</f>
        <v>FORWARD SPACE</v>
      </c>
      <c r="B163" s="3"/>
      <c r="C163" s="2" t="str">
        <f ca="1">IFERROR(__xludf.DUMMYFUNCTION("""COMPUTED_VALUE"""),"*1111 W 22ND ST STE 150")</f>
        <v>*1111 W 22ND ST STE 150</v>
      </c>
      <c r="D163" s="2" t="str">
        <f ca="1">IFERROR(__xludf.DUMMYFUNCTION("""COMPUTED_VALUE"""),"OAK BROOK")</f>
        <v>OAK BROOK</v>
      </c>
      <c r="E163" s="2" t="str">
        <f ca="1">IFERROR(__xludf.DUMMYFUNCTION("""COMPUTED_VALUE"""),"IL")</f>
        <v>IL</v>
      </c>
      <c r="F163" s="4" t="str">
        <f ca="1">IFERROR(__xludf.DUMMYFUNCTION("""COMPUTED_VALUE"""),"60523")</f>
        <v>60523</v>
      </c>
      <c r="G163" s="2"/>
      <c r="H163" s="2"/>
      <c r="I163" s="2"/>
    </row>
    <row r="164" spans="1:9" ht="13" x14ac:dyDescent="0.3">
      <c r="A164" s="2" t="str">
        <f ca="1">IFERROR(__xludf.DUMMYFUNCTION("""COMPUTED_VALUE"""),"FORWARD TILT")</f>
        <v>FORWARD TILT</v>
      </c>
      <c r="B164" s="3"/>
      <c r="C164" s="2" t="str">
        <f ca="1">IFERROR(__xludf.DUMMYFUNCTION("""COMPUTED_VALUE"""),"*6340 E THOMAS RD STE 200")</f>
        <v>*6340 E THOMAS RD STE 200</v>
      </c>
      <c r="D164" s="2" t="str">
        <f ca="1">IFERROR(__xludf.DUMMYFUNCTION("""COMPUTED_VALUE"""),"SCOTTSDALE")</f>
        <v>SCOTTSDALE</v>
      </c>
      <c r="E164" s="2" t="str">
        <f ca="1">IFERROR(__xludf.DUMMYFUNCTION("""COMPUTED_VALUE"""),"AZ")</f>
        <v>AZ</v>
      </c>
      <c r="F164" s="4" t="str">
        <f ca="1">IFERROR(__xludf.DUMMYFUNCTION("""COMPUTED_VALUE"""),"85251")</f>
        <v>85251</v>
      </c>
      <c r="G164" s="2"/>
      <c r="H164" s="2"/>
      <c r="I164" s="2"/>
    </row>
    <row r="165" spans="1:9" ht="13" x14ac:dyDescent="0.3">
      <c r="A165" s="2" t="str">
        <f ca="1">IFERROR(__xludf.DUMMYFUNCTION("""COMPUTED_VALUE"""),"FROST BARBER INC")</f>
        <v>FROST BARBER INC</v>
      </c>
      <c r="B165" s="3"/>
      <c r="C165" s="2" t="str">
        <f ca="1">IFERROR(__xludf.DUMMYFUNCTION("""COMPUTED_VALUE"""),"*9322 INTERLINE AVE")</f>
        <v>*9322 INTERLINE AVE</v>
      </c>
      <c r="D165" s="2" t="str">
        <f ca="1">IFERROR(__xludf.DUMMYFUNCTION("""COMPUTED_VALUE"""),"BATON ROUGE")</f>
        <v>BATON ROUGE</v>
      </c>
      <c r="E165" s="2" t="str">
        <f ca="1">IFERROR(__xludf.DUMMYFUNCTION("""COMPUTED_VALUE"""),"LA")</f>
        <v>LA</v>
      </c>
      <c r="F165" s="4" t="str">
        <f ca="1">IFERROR(__xludf.DUMMYFUNCTION("""COMPUTED_VALUE"""),"70809")</f>
        <v>70809</v>
      </c>
      <c r="G165" s="2"/>
      <c r="H165" s="2"/>
      <c r="I165" s="2"/>
    </row>
    <row r="166" spans="1:9" ht="13" x14ac:dyDescent="0.3">
      <c r="A166" s="2" t="str">
        <f ca="1">IFERROR(__xludf.DUMMYFUNCTION("""COMPUTED_VALUE"""),"FURNITURE CONSULTANTS INC-MIAMI")</f>
        <v>FURNITURE CONSULTANTS INC-MIAMI</v>
      </c>
      <c r="B166" s="3"/>
      <c r="C166" s="2" t="str">
        <f ca="1">IFERROR(__xludf.DUMMYFUNCTION("""COMPUTED_VALUE"""),"*1450 BROADWAY 27TH FL")</f>
        <v>*1450 BROADWAY 27TH FL</v>
      </c>
      <c r="D166" s="2" t="str">
        <f ca="1">IFERROR(__xludf.DUMMYFUNCTION("""COMPUTED_VALUE"""),"NEW YORK")</f>
        <v>NEW YORK</v>
      </c>
      <c r="E166" s="2" t="str">
        <f ca="1">IFERROR(__xludf.DUMMYFUNCTION("""COMPUTED_VALUE"""),"NY")</f>
        <v>NY</v>
      </c>
      <c r="F166" s="4" t="str">
        <f ca="1">IFERROR(__xludf.DUMMYFUNCTION("""COMPUTED_VALUE"""),"10118")</f>
        <v>10118</v>
      </c>
      <c r="G166" s="2"/>
      <c r="H166" s="2"/>
      <c r="I166" s="2"/>
    </row>
    <row r="167" spans="1:9" ht="13" x14ac:dyDescent="0.3">
      <c r="A167" s="2" t="str">
        <f ca="1">IFERROR(__xludf.DUMMYFUNCTION("""COMPUTED_VALUE"""),"FURNITURE MARKETING GROUP-AUSTIN")</f>
        <v>FURNITURE MARKETING GROUP-AUSTIN</v>
      </c>
      <c r="B167" s="3"/>
      <c r="C167" s="2" t="str">
        <f ca="1">IFERROR(__xludf.DUMMYFUNCTION("""COMPUTED_VALUE"""),"*3300 N IH-35 STE 145")</f>
        <v>*3300 N IH-35 STE 145</v>
      </c>
      <c r="D167" s="2" t="str">
        <f ca="1">IFERROR(__xludf.DUMMYFUNCTION("""COMPUTED_VALUE"""),"AUSTIN")</f>
        <v>AUSTIN</v>
      </c>
      <c r="E167" s="2" t="str">
        <f ca="1">IFERROR(__xludf.DUMMYFUNCTION("""COMPUTED_VALUE"""),"TX")</f>
        <v>TX</v>
      </c>
      <c r="F167" s="4" t="str">
        <f ca="1">IFERROR(__xludf.DUMMYFUNCTION("""COMPUTED_VALUE"""),"78705")</f>
        <v>78705</v>
      </c>
      <c r="G167" s="2"/>
      <c r="H167" s="2"/>
      <c r="I167" s="2"/>
    </row>
    <row r="168" spans="1:9" ht="13" x14ac:dyDescent="0.3">
      <c r="A168" s="2" t="str">
        <f ca="1">IFERROR(__xludf.DUMMYFUNCTION("""COMPUTED_VALUE"""),"FURNITURE MARKETING GROUP-HOUSTON")</f>
        <v>FURNITURE MARKETING GROUP-HOUSTON</v>
      </c>
      <c r="B168" s="3"/>
      <c r="C168" s="2" t="str">
        <f ca="1">IFERROR(__xludf.DUMMYFUNCTION("""COMPUTED_VALUE"""),"*1775 ST JAMES PL  STE 200")</f>
        <v>*1775 ST JAMES PL  STE 200</v>
      </c>
      <c r="D168" s="2" t="str">
        <f ca="1">IFERROR(__xludf.DUMMYFUNCTION("""COMPUTED_VALUE"""),"HOUSTON")</f>
        <v>HOUSTON</v>
      </c>
      <c r="E168" s="2" t="str">
        <f ca="1">IFERROR(__xludf.DUMMYFUNCTION("""COMPUTED_VALUE"""),"TX")</f>
        <v>TX</v>
      </c>
      <c r="F168" s="4" t="str">
        <f ca="1">IFERROR(__xludf.DUMMYFUNCTION("""COMPUTED_VALUE"""),"77056")</f>
        <v>77056</v>
      </c>
      <c r="G168" s="2"/>
      <c r="H168" s="2"/>
      <c r="I168" s="2"/>
    </row>
    <row r="169" spans="1:9" ht="13" x14ac:dyDescent="0.3">
      <c r="A169" s="2" t="str">
        <f ca="1">IFERROR(__xludf.DUMMYFUNCTION("""COMPUTED_VALUE"""),"FURNITURE MARKETING GROUP-PLANO")</f>
        <v>FURNITURE MARKETING GROUP-PLANO</v>
      </c>
      <c r="B169" s="3"/>
      <c r="C169" s="2" t="str">
        <f ca="1">IFERROR(__xludf.DUMMYFUNCTION("""COMPUTED_VALUE"""),"*6100 W PLANO PKWY STE 1400")</f>
        <v>*6100 W PLANO PKWY STE 1400</v>
      </c>
      <c r="D169" s="2" t="str">
        <f ca="1">IFERROR(__xludf.DUMMYFUNCTION("""COMPUTED_VALUE"""),"PLANO")</f>
        <v>PLANO</v>
      </c>
      <c r="E169" s="2" t="str">
        <f ca="1">IFERROR(__xludf.DUMMYFUNCTION("""COMPUTED_VALUE"""),"TX")</f>
        <v>TX</v>
      </c>
      <c r="F169" s="4" t="str">
        <f ca="1">IFERROR(__xludf.DUMMYFUNCTION("""COMPUTED_VALUE"""),"75093-8203")</f>
        <v>75093-8203</v>
      </c>
      <c r="G169" s="2"/>
      <c r="H169" s="2"/>
      <c r="I169" s="2"/>
    </row>
    <row r="170" spans="1:9" ht="13" x14ac:dyDescent="0.3">
      <c r="A170" s="2" t="str">
        <f ca="1">IFERROR(__xludf.DUMMYFUNCTION("""COMPUTED_VALUE"""),"FURNITURE SOLUTIONS FOR THE WORKPLACE-IN")</f>
        <v>FURNITURE SOLUTIONS FOR THE WORKPLACE-IN</v>
      </c>
      <c r="B170" s="3"/>
      <c r="C170" s="2" t="str">
        <f ca="1">IFERROR(__xludf.DUMMYFUNCTION("""COMPUTED_VALUE"""),"*1329 E KEMPER RD")</f>
        <v>*1329 E KEMPER RD</v>
      </c>
      <c r="D170" s="2" t="str">
        <f ca="1">IFERROR(__xludf.DUMMYFUNCTION("""COMPUTED_VALUE"""),"CINCINNATI")</f>
        <v>CINCINNATI</v>
      </c>
      <c r="E170" s="2" t="str">
        <f ca="1">IFERROR(__xludf.DUMMYFUNCTION("""COMPUTED_VALUE"""),"OH")</f>
        <v>OH</v>
      </c>
      <c r="F170" s="4" t="str">
        <f ca="1">IFERROR(__xludf.DUMMYFUNCTION("""COMPUTED_VALUE"""),"45246")</f>
        <v>45246</v>
      </c>
      <c r="G170" s="2"/>
      <c r="H170" s="2"/>
      <c r="I170" s="2"/>
    </row>
    <row r="171" spans="1:9" ht="13" x14ac:dyDescent="0.3">
      <c r="A171" s="2" t="str">
        <f ca="1">IFERROR(__xludf.DUMMYFUNCTION("""COMPUTED_VALUE"""),"FURNITURE SOLUTIONS FOR THE WORKPLACE-KY")</f>
        <v>FURNITURE SOLUTIONS FOR THE WORKPLACE-KY</v>
      </c>
      <c r="B171" s="3"/>
      <c r="C171" s="2" t="str">
        <f ca="1">IFERROR(__xludf.DUMMYFUNCTION("""COMPUTED_VALUE"""),"*1329 E KEMPER RD")</f>
        <v>*1329 E KEMPER RD</v>
      </c>
      <c r="D171" s="2" t="str">
        <f ca="1">IFERROR(__xludf.DUMMYFUNCTION("""COMPUTED_VALUE"""),"CINCINNATI")</f>
        <v>CINCINNATI</v>
      </c>
      <c r="E171" s="2" t="str">
        <f ca="1">IFERROR(__xludf.DUMMYFUNCTION("""COMPUTED_VALUE"""),"OH")</f>
        <v>OH</v>
      </c>
      <c r="F171" s="4" t="str">
        <f ca="1">IFERROR(__xludf.DUMMYFUNCTION("""COMPUTED_VALUE"""),"45246")</f>
        <v>45246</v>
      </c>
      <c r="G171" s="2"/>
      <c r="H171" s="2"/>
      <c r="I171" s="2"/>
    </row>
    <row r="172" spans="1:9" ht="13" x14ac:dyDescent="0.3">
      <c r="A172" s="2" t="str">
        <f ca="1">IFERROR(__xludf.DUMMYFUNCTION("""COMPUTED_VALUE"""),"G/M BUSINESS INTERIORS-RIVERSIDE")</f>
        <v>G/M BUSINESS INTERIORS-RIVERSIDE</v>
      </c>
      <c r="B172" s="3"/>
      <c r="C172" s="2" t="str">
        <f ca="1">IFERROR(__xludf.DUMMYFUNCTION("""COMPUTED_VALUE"""),"*1099 W LA CADENA DR")</f>
        <v>*1099 W LA CADENA DR</v>
      </c>
      <c r="D172" s="2" t="str">
        <f ca="1">IFERROR(__xludf.DUMMYFUNCTION("""COMPUTED_VALUE"""),"RIVERSIDE")</f>
        <v>RIVERSIDE</v>
      </c>
      <c r="E172" s="2" t="str">
        <f ca="1">IFERROR(__xludf.DUMMYFUNCTION("""COMPUTED_VALUE"""),"CA")</f>
        <v>CA</v>
      </c>
      <c r="F172" s="4" t="str">
        <f ca="1">IFERROR(__xludf.DUMMYFUNCTION("""COMPUTED_VALUE"""),"92501")</f>
        <v>92501</v>
      </c>
      <c r="G172" s="2"/>
      <c r="H172" s="2"/>
      <c r="I172" s="2"/>
    </row>
    <row r="173" spans="1:9" ht="13" x14ac:dyDescent="0.3">
      <c r="A173" s="2" t="str">
        <f ca="1">IFERROR(__xludf.DUMMYFUNCTION("""COMPUTED_VALUE"""),"G/M BUSINESS INTERIORS-SAN DIEGO")</f>
        <v>G/M BUSINESS INTERIORS-SAN DIEGO</v>
      </c>
      <c r="B173" s="3"/>
      <c r="C173" s="2" t="str">
        <f ca="1">IFERROR(__xludf.DUMMYFUNCTION("""COMPUTED_VALUE"""),"*1099 W LA CADENA DR")</f>
        <v>*1099 W LA CADENA DR</v>
      </c>
      <c r="D173" s="2" t="str">
        <f ca="1">IFERROR(__xludf.DUMMYFUNCTION("""COMPUTED_VALUE"""),"RIVERSIDE")</f>
        <v>RIVERSIDE</v>
      </c>
      <c r="E173" s="2" t="str">
        <f ca="1">IFERROR(__xludf.DUMMYFUNCTION("""COMPUTED_VALUE"""),"CA")</f>
        <v>CA</v>
      </c>
      <c r="F173" s="4" t="str">
        <f ca="1">IFERROR(__xludf.DUMMYFUNCTION("""COMPUTED_VALUE"""),"92501")</f>
        <v>92501</v>
      </c>
      <c r="G173" s="2"/>
      <c r="H173" s="2"/>
      <c r="I173" s="2"/>
    </row>
    <row r="174" spans="1:9" ht="13" x14ac:dyDescent="0.3">
      <c r="A174" s="2" t="str">
        <f ca="1">IFERROR(__xludf.DUMMYFUNCTION("""COMPUTED_VALUE"""),"GATEWAY PRINTING &amp; OFFICE SUPPLY INC aka Jones Cook Stationers")</f>
        <v>GATEWAY PRINTING &amp; OFFICE SUPPLY INC aka Jones Cook Stationers</v>
      </c>
      <c r="B174" s="3"/>
      <c r="C174" s="2" t="str">
        <f ca="1">IFERROR(__xludf.DUMMYFUNCTION("""COMPUTED_VALUE"""),"*14803 BULVERDE RD")</f>
        <v>*14803 BULVERDE RD</v>
      </c>
      <c r="D174" s="2" t="str">
        <f ca="1">IFERROR(__xludf.DUMMYFUNCTION("""COMPUTED_VALUE"""),"SAN ANTONIO")</f>
        <v>SAN ANTONIO</v>
      </c>
      <c r="E174" s="2" t="str">
        <f ca="1">IFERROR(__xludf.DUMMYFUNCTION("""COMPUTED_VALUE"""),"TX")</f>
        <v>TX</v>
      </c>
      <c r="F174" s="4" t="str">
        <f ca="1">IFERROR(__xludf.DUMMYFUNCTION("""COMPUTED_VALUE"""),"78247")</f>
        <v>78247</v>
      </c>
      <c r="G174" s="2"/>
      <c r="H174" s="2"/>
      <c r="I174" s="2"/>
    </row>
    <row r="175" spans="1:9" ht="13" x14ac:dyDescent="0.3">
      <c r="A175" s="2" t="str">
        <f ca="1">IFERROR(__xludf.DUMMYFUNCTION("""COMPUTED_VALUE"""),"GENERAL OFFICE PRODUCTS")</f>
        <v>GENERAL OFFICE PRODUCTS</v>
      </c>
      <c r="B175" s="3"/>
      <c r="C175" s="2" t="str">
        <f ca="1">IFERROR(__xludf.DUMMYFUNCTION("""COMPUTED_VALUE"""),"*4521 HWY 7")</f>
        <v>*4521 HWY 7</v>
      </c>
      <c r="D175" s="2" t="str">
        <f ca="1">IFERROR(__xludf.DUMMYFUNCTION("""COMPUTED_VALUE"""),"MINNEAPOLIS")</f>
        <v>MINNEAPOLIS</v>
      </c>
      <c r="E175" s="2" t="str">
        <f ca="1">IFERROR(__xludf.DUMMYFUNCTION("""COMPUTED_VALUE"""),"MN")</f>
        <v>MN</v>
      </c>
      <c r="F175" s="4" t="str">
        <f ca="1">IFERROR(__xludf.DUMMYFUNCTION("""COMPUTED_VALUE"""),"55416")</f>
        <v>55416</v>
      </c>
      <c r="G175" s="2"/>
      <c r="H175" s="2"/>
      <c r="I175" s="2"/>
    </row>
    <row r="176" spans="1:9" ht="13" x14ac:dyDescent="0.3">
      <c r="A176" s="2" t="str">
        <f ca="1">IFERROR(__xludf.DUMMYFUNCTION("""COMPUTED_VALUE"""),"GENERAL OFFICE SUPPLY/ACADIANAS OFC PRODUCTS")</f>
        <v>GENERAL OFFICE SUPPLY/ACADIANAS OFC PRODUCTS</v>
      </c>
      <c r="B176" s="3"/>
      <c r="C176" s="2" t="str">
        <f ca="1">IFERROR(__xludf.DUMMYFUNCTION("""COMPUTED_VALUE"""),"*PO BOX 80068")</f>
        <v>*PO BOX 80068</v>
      </c>
      <c r="D176" s="2" t="str">
        <f ca="1">IFERROR(__xludf.DUMMYFUNCTION("""COMPUTED_VALUE"""),"LAFAYETTE")</f>
        <v>LAFAYETTE</v>
      </c>
      <c r="E176" s="2" t="str">
        <f ca="1">IFERROR(__xludf.DUMMYFUNCTION("""COMPUTED_VALUE"""),"LA")</f>
        <v>LA</v>
      </c>
      <c r="F176" s="4" t="str">
        <f ca="1">IFERROR(__xludf.DUMMYFUNCTION("""COMPUTED_VALUE"""),"70598-0068")</f>
        <v>70598-0068</v>
      </c>
      <c r="G176" s="2"/>
      <c r="H176" s="2"/>
      <c r="I176" s="2"/>
    </row>
    <row r="177" spans="1:9" ht="13" x14ac:dyDescent="0.3">
      <c r="A177" s="2" t="str">
        <f ca="1">IFERROR(__xludf.DUMMYFUNCTION("""COMPUTED_VALUE"""),"GENESIS INTERIORS")</f>
        <v>GENESIS INTERIORS</v>
      </c>
      <c r="B177" s="3"/>
      <c r="C177" s="2" t="str">
        <f ca="1">IFERROR(__xludf.DUMMYFUNCTION("""COMPUTED_VALUE"""),"*2033 JAMES RD")</f>
        <v>*2033 JAMES RD</v>
      </c>
      <c r="D177" s="2" t="str">
        <f ca="1">IFERROR(__xludf.DUMMYFUNCTION("""COMPUTED_VALUE"""),"SEVIERVILLE")</f>
        <v>SEVIERVILLE</v>
      </c>
      <c r="E177" s="2" t="str">
        <f ca="1">IFERROR(__xludf.DUMMYFUNCTION("""COMPUTED_VALUE"""),"TN")</f>
        <v>TN</v>
      </c>
      <c r="F177" s="4" t="str">
        <f ca="1">IFERROR(__xludf.DUMMYFUNCTION("""COMPUTED_VALUE"""),"37876")</f>
        <v>37876</v>
      </c>
      <c r="G177" s="2"/>
      <c r="H177" s="2"/>
      <c r="I177" s="2"/>
    </row>
    <row r="178" spans="1:9" ht="13" x14ac:dyDescent="0.3">
      <c r="A178" s="2" t="str">
        <f ca="1">IFERROR(__xludf.DUMMYFUNCTION("""COMPUTED_VALUE"""),"GL SEAMAN &amp; COMPANY")</f>
        <v>GL SEAMAN &amp; COMPANY</v>
      </c>
      <c r="B178" s="3" t="str">
        <f ca="1">IFERROR(__xludf.DUMMYFUNCTION("""COMPUTED_VALUE"""),"TX HUB/WO")</f>
        <v>TX HUB/WO</v>
      </c>
      <c r="C178" s="2" t="str">
        <f ca="1">IFERROR(__xludf.DUMMYFUNCTION("""COMPUTED_VALUE"""),"*4201 INTERNATIONAL PKWY")</f>
        <v>*4201 INTERNATIONAL PKWY</v>
      </c>
      <c r="D178" s="2" t="str">
        <f ca="1">IFERROR(__xludf.DUMMYFUNCTION("""COMPUTED_VALUE"""),"CARROLLTON")</f>
        <v>CARROLLTON</v>
      </c>
      <c r="E178" s="2" t="str">
        <f ca="1">IFERROR(__xludf.DUMMYFUNCTION("""COMPUTED_VALUE"""),"TX")</f>
        <v>TX</v>
      </c>
      <c r="F178" s="4" t="str">
        <f ca="1">IFERROR(__xludf.DUMMYFUNCTION("""COMPUTED_VALUE"""),"75007")</f>
        <v>75007</v>
      </c>
      <c r="G178" s="2"/>
      <c r="H178" s="2"/>
      <c r="I178" s="2"/>
    </row>
    <row r="179" spans="1:9" ht="13" x14ac:dyDescent="0.3">
      <c r="A179" s="2" t="str">
        <f ca="1">IFERROR(__xludf.DUMMYFUNCTION("""COMPUTED_VALUE"""),"GOODMANS INC-ALBUQUERQUE")</f>
        <v>GOODMANS INC-ALBUQUERQUE</v>
      </c>
      <c r="B179" s="3"/>
      <c r="C179" s="2" t="str">
        <f ca="1">IFERROR(__xludf.DUMMYFUNCTION("""COMPUTED_VALUE"""),"*1400 E INDIAN SCHOOL RD")</f>
        <v>*1400 E INDIAN SCHOOL RD</v>
      </c>
      <c r="D179" s="2" t="str">
        <f ca="1">IFERROR(__xludf.DUMMYFUNCTION("""COMPUTED_VALUE"""),"PHOENIX")</f>
        <v>PHOENIX</v>
      </c>
      <c r="E179" s="2" t="str">
        <f ca="1">IFERROR(__xludf.DUMMYFUNCTION("""COMPUTED_VALUE"""),"AZ")</f>
        <v>AZ</v>
      </c>
      <c r="F179" s="4" t="str">
        <f ca="1">IFERROR(__xludf.DUMMYFUNCTION("""COMPUTED_VALUE"""),"85014")</f>
        <v>85014</v>
      </c>
      <c r="G179" s="2"/>
      <c r="H179" s="2"/>
      <c r="I179" s="2"/>
    </row>
    <row r="180" spans="1:9" ht="13" x14ac:dyDescent="0.3">
      <c r="A180" s="2" t="str">
        <f ca="1">IFERROR(__xludf.DUMMYFUNCTION("""COMPUTED_VALUE"""),"GOODMANS INC-PHOENIX")</f>
        <v>GOODMANS INC-PHOENIX</v>
      </c>
      <c r="B180" s="3"/>
      <c r="C180" s="2" t="str">
        <f ca="1">IFERROR(__xludf.DUMMYFUNCTION("""COMPUTED_VALUE"""),"*1400 E INDIAN SCHOOL RD")</f>
        <v>*1400 E INDIAN SCHOOL RD</v>
      </c>
      <c r="D180" s="2" t="str">
        <f ca="1">IFERROR(__xludf.DUMMYFUNCTION("""COMPUTED_VALUE"""),"PHOENIX")</f>
        <v>PHOENIX</v>
      </c>
      <c r="E180" s="2" t="str">
        <f ca="1">IFERROR(__xludf.DUMMYFUNCTION("""COMPUTED_VALUE"""),"AZ")</f>
        <v>AZ</v>
      </c>
      <c r="F180" s="4" t="str">
        <f ca="1">IFERROR(__xludf.DUMMYFUNCTION("""COMPUTED_VALUE"""),"85014")</f>
        <v>85014</v>
      </c>
      <c r="G180" s="2"/>
      <c r="H180" s="2"/>
      <c r="I180" s="2"/>
    </row>
    <row r="181" spans="1:9" ht="13" x14ac:dyDescent="0.3">
      <c r="A181" s="2" t="str">
        <f ca="1">IFERROR(__xludf.DUMMYFUNCTION("""COMPUTED_VALUE"""),"GOODMANS INC-TUCSON")</f>
        <v>GOODMANS INC-TUCSON</v>
      </c>
      <c r="B181" s="3"/>
      <c r="C181" s="2" t="str">
        <f ca="1">IFERROR(__xludf.DUMMYFUNCTION("""COMPUTED_VALUE"""),"*3925 N BUSINESS CTR DR")</f>
        <v>*3925 N BUSINESS CTR DR</v>
      </c>
      <c r="D181" s="2" t="str">
        <f ca="1">IFERROR(__xludf.DUMMYFUNCTION("""COMPUTED_VALUE"""),"TUCSON")</f>
        <v>TUCSON</v>
      </c>
      <c r="E181" s="2" t="str">
        <f ca="1">IFERROR(__xludf.DUMMYFUNCTION("""COMPUTED_VALUE"""),"AZ")</f>
        <v>AZ</v>
      </c>
      <c r="F181" s="4" t="str">
        <f ca="1">IFERROR(__xludf.DUMMYFUNCTION("""COMPUTED_VALUE"""),"85705")</f>
        <v>85705</v>
      </c>
      <c r="G181" s="2"/>
      <c r="H181" s="2"/>
      <c r="I181" s="2"/>
    </row>
    <row r="182" spans="1:9" ht="13" x14ac:dyDescent="0.3">
      <c r="A182" s="2" t="str">
        <f ca="1">IFERROR(__xludf.DUMMYFUNCTION("""COMPUTED_VALUE"""),"GOODMANS INTERIOR STRUCTURES/GSA")</f>
        <v>GOODMANS INTERIOR STRUCTURES/GSA</v>
      </c>
      <c r="B182" s="3" t="str">
        <f ca="1">IFERROR(__xludf.DUMMYFUNCTION("""COMPUTED_VALUE"""),"s/d")</f>
        <v>s/d</v>
      </c>
      <c r="C182" s="2" t="str">
        <f ca="1">IFERROR(__xludf.DUMMYFUNCTION("""COMPUTED_VALUE"""),"*1400 E INDIAN SCHOOL RD")</f>
        <v>*1400 E INDIAN SCHOOL RD</v>
      </c>
      <c r="D182" s="2" t="str">
        <f ca="1">IFERROR(__xludf.DUMMYFUNCTION("""COMPUTED_VALUE"""),"PHOENIX")</f>
        <v>PHOENIX</v>
      </c>
      <c r="E182" s="2" t="str">
        <f ca="1">IFERROR(__xludf.DUMMYFUNCTION("""COMPUTED_VALUE"""),"AZ")</f>
        <v>AZ</v>
      </c>
      <c r="F182" s="4" t="str">
        <f ca="1">IFERROR(__xludf.DUMMYFUNCTION("""COMPUTED_VALUE"""),"85014")</f>
        <v>85014</v>
      </c>
      <c r="G182" s="2"/>
      <c r="H182" s="2"/>
      <c r="I182" s="2"/>
    </row>
    <row r="183" spans="1:9" ht="13" x14ac:dyDescent="0.3">
      <c r="A183" s="2" t="str">
        <f ca="1">IFERROR(__xludf.DUMMYFUNCTION("""COMPUTED_VALUE"""),"GRAND RIVER OFFICE LLC")</f>
        <v>GRAND RIVER OFFICE LLC</v>
      </c>
      <c r="B183" s="3" t="str">
        <f ca="1">IFERROR(__xludf.DUMMYFUNCTION("""COMPUTED_VALUE"""),"WO")</f>
        <v>WO</v>
      </c>
      <c r="C183" s="2" t="str">
        <f ca="1">IFERROR(__xludf.DUMMYFUNCTION("""COMPUTED_VALUE"""),"*99 W WESTERN AVE")</f>
        <v>*99 W WESTERN AVE</v>
      </c>
      <c r="D183" s="2" t="str">
        <f ca="1">IFERROR(__xludf.DUMMYFUNCTION("""COMPUTED_VALUE"""),"MUSKEGON")</f>
        <v>MUSKEGON</v>
      </c>
      <c r="E183" s="2" t="str">
        <f ca="1">IFERROR(__xludf.DUMMYFUNCTION("""COMPUTED_VALUE"""),"MI")</f>
        <v>MI</v>
      </c>
      <c r="F183" s="4" t="str">
        <f ca="1">IFERROR(__xludf.DUMMYFUNCTION("""COMPUTED_VALUE"""),"49442")</f>
        <v>49442</v>
      </c>
      <c r="G183" s="2"/>
      <c r="H183" s="2"/>
      <c r="I183" s="2"/>
    </row>
    <row r="184" spans="1:9" ht="13" x14ac:dyDescent="0.3">
      <c r="A184" s="2" t="str">
        <f ca="1">IFERROR(__xludf.DUMMYFUNCTION("""COMPUTED_VALUE"""),"GRASSROOTS CONTRACT INTERIORS")</f>
        <v>GRASSROOTS CONTRACT INTERIORS</v>
      </c>
      <c r="B184" s="3"/>
      <c r="C184" s="2" t="str">
        <f ca="1">IFERROR(__xludf.DUMMYFUNCTION("""COMPUTED_VALUE"""),"PO BOX 43")</f>
        <v>PO BOX 43</v>
      </c>
      <c r="D184" s="2" t="str">
        <f ca="1">IFERROR(__xludf.DUMMYFUNCTION("""COMPUTED_VALUE"""),"BUFFALO")</f>
        <v>BUFFALO</v>
      </c>
      <c r="E184" s="2" t="str">
        <f ca="1">IFERROR(__xludf.DUMMYFUNCTION("""COMPUTED_VALUE"""),"NY")</f>
        <v>NY</v>
      </c>
      <c r="F184" s="4">
        <f ca="1">IFERROR(__xludf.DUMMYFUNCTION("""COMPUTED_VALUE"""),14201)</f>
        <v>14201</v>
      </c>
      <c r="G184" s="2"/>
      <c r="H184" s="2"/>
      <c r="I184" s="2"/>
    </row>
    <row r="185" spans="1:9" ht="13" x14ac:dyDescent="0.3">
      <c r="A185" s="2" t="str">
        <f ca="1">IFERROR(__xludf.DUMMYFUNCTION("""COMPUTED_VALUE"""),"GROOMS OFFICE ENVIRONMENTS")</f>
        <v>GROOMS OFFICE ENVIRONMENTS</v>
      </c>
      <c r="B185" s="3"/>
      <c r="C185" s="2" t="str">
        <f ca="1">IFERROR(__xludf.DUMMYFUNCTION("""COMPUTED_VALUE"""),"*1285 E MONTCLAIR")</f>
        <v>*1285 E MONTCLAIR</v>
      </c>
      <c r="D185" s="2" t="str">
        <f ca="1">IFERROR(__xludf.DUMMYFUNCTION("""COMPUTED_VALUE"""),"SPRINGFIELD")</f>
        <v>SPRINGFIELD</v>
      </c>
      <c r="E185" s="2" t="str">
        <f ca="1">IFERROR(__xludf.DUMMYFUNCTION("""COMPUTED_VALUE"""),"MO")</f>
        <v>MO</v>
      </c>
      <c r="F185" s="4" t="str">
        <f ca="1">IFERROR(__xludf.DUMMYFUNCTION("""COMPUTED_VALUE"""),"65804")</f>
        <v>65804</v>
      </c>
      <c r="G185" s="2"/>
      <c r="H185" s="2"/>
      <c r="I185" s="2"/>
    </row>
    <row r="186" spans="1:9" ht="13" x14ac:dyDescent="0.3">
      <c r="A186" s="2" t="str">
        <f ca="1">IFERROR(__xludf.DUMMYFUNCTION("""COMPUTED_VALUE"""),"GULF COAST OFFICE PRODUCTS INC")</f>
        <v>GULF COAST OFFICE PRODUCTS INC</v>
      </c>
      <c r="B186" s="3"/>
      <c r="C186" s="2" t="str">
        <f ca="1">IFERROR(__xludf.DUMMYFUNCTION("""COMPUTED_VALUE"""),"*6020 ENTERPRISE DR")</f>
        <v>*6020 ENTERPRISE DR</v>
      </c>
      <c r="D186" s="2" t="str">
        <f ca="1">IFERROR(__xludf.DUMMYFUNCTION("""COMPUTED_VALUE"""),"PENSACOLA")</f>
        <v>PENSACOLA</v>
      </c>
      <c r="E186" s="2" t="str">
        <f ca="1">IFERROR(__xludf.DUMMYFUNCTION("""COMPUTED_VALUE"""),"FL")</f>
        <v>FL</v>
      </c>
      <c r="F186" s="4" t="str">
        <f ca="1">IFERROR(__xludf.DUMMYFUNCTION("""COMPUTED_VALUE"""),"32505")</f>
        <v>32505</v>
      </c>
      <c r="G186" s="2"/>
      <c r="H186" s="2"/>
      <c r="I186" s="2"/>
    </row>
    <row r="187" spans="1:9" ht="13" x14ac:dyDescent="0.3">
      <c r="A187" s="2" t="str">
        <f ca="1">IFERROR(__xludf.DUMMYFUNCTION("""COMPUTED_VALUE"""),"HARRIS OFFICE FURNITURE CO INC")</f>
        <v>HARRIS OFFICE FURNITURE CO INC</v>
      </c>
      <c r="B187" s="3" t="str">
        <f ca="1">IFERROR(__xludf.DUMMYFUNCTION("""COMPUTED_VALUE"""),"SWaM")</f>
        <v>SWaM</v>
      </c>
      <c r="C187" s="2" t="str">
        <f ca="1">IFERROR(__xludf.DUMMYFUNCTION("""COMPUTED_VALUE"""),"*520 KIMBALL AVE NE")</f>
        <v>*520 KIMBALL AVE NE</v>
      </c>
      <c r="D187" s="2" t="str">
        <f ca="1">IFERROR(__xludf.DUMMYFUNCTION("""COMPUTED_VALUE"""),"ROANOKE")</f>
        <v>ROANOKE</v>
      </c>
      <c r="E187" s="2" t="str">
        <f ca="1">IFERROR(__xludf.DUMMYFUNCTION("""COMPUTED_VALUE"""),"VA")</f>
        <v>VA</v>
      </c>
      <c r="F187" s="4" t="str">
        <f ca="1">IFERROR(__xludf.DUMMYFUNCTION("""COMPUTED_VALUE"""),"24016")</f>
        <v>24016</v>
      </c>
      <c r="G187" s="2"/>
      <c r="H187" s="2"/>
      <c r="I187" s="2"/>
    </row>
    <row r="188" spans="1:9" ht="13" x14ac:dyDescent="0.3">
      <c r="A188" s="2" t="str">
        <f ca="1">IFERROR(__xludf.DUMMYFUNCTION("""COMPUTED_VALUE"""),"HDW COMMERCIAL INTERIORS")</f>
        <v>HDW COMMERCIAL INTERIORS</v>
      </c>
      <c r="B188" s="3" t="str">
        <f ca="1">IFERROR(__xludf.DUMMYFUNCTION("""COMPUTED_VALUE"""),"WO")</f>
        <v>WO</v>
      </c>
      <c r="C188" s="2" t="str">
        <f ca="1">IFERROR(__xludf.DUMMYFUNCTION("""COMPUTED_VALUE"""),"*2274 W 93RD AVE")</f>
        <v>*2274 W 93RD AVE</v>
      </c>
      <c r="D188" s="2" t="str">
        <f ca="1">IFERROR(__xludf.DUMMYFUNCTION("""COMPUTED_VALUE"""),"MERRILLVILLE")</f>
        <v>MERRILLVILLE</v>
      </c>
      <c r="E188" s="2" t="str">
        <f ca="1">IFERROR(__xludf.DUMMYFUNCTION("""COMPUTED_VALUE"""),"IN")</f>
        <v>IN</v>
      </c>
      <c r="F188" s="4" t="str">
        <f ca="1">IFERROR(__xludf.DUMMYFUNCTION("""COMPUTED_VALUE"""),"46410")</f>
        <v>46410</v>
      </c>
      <c r="G188" s="2"/>
      <c r="H188" s="2"/>
      <c r="I188" s="2"/>
    </row>
    <row r="189" spans="1:9" ht="13" x14ac:dyDescent="0.3">
      <c r="A189" s="2" t="str">
        <f ca="1">IFERROR(__xludf.DUMMYFUNCTION("""COMPUTED_VALUE"""),"HENRICKSEN &amp; COMPANY - IL")</f>
        <v>HENRICKSEN &amp; COMPANY - IL</v>
      </c>
      <c r="B189" s="3"/>
      <c r="C189" s="2" t="str">
        <f ca="1">IFERROR(__xludf.DUMMYFUNCTION("""COMPUTED_VALUE"""),"*1101 W THORNDALE")</f>
        <v>*1101 W THORNDALE</v>
      </c>
      <c r="D189" s="2" t="str">
        <f ca="1">IFERROR(__xludf.DUMMYFUNCTION("""COMPUTED_VALUE"""),"ITASCA")</f>
        <v>ITASCA</v>
      </c>
      <c r="E189" s="2" t="str">
        <f ca="1">IFERROR(__xludf.DUMMYFUNCTION("""COMPUTED_VALUE"""),"IL")</f>
        <v>IL</v>
      </c>
      <c r="F189" s="4" t="str">
        <f ca="1">IFERROR(__xludf.DUMMYFUNCTION("""COMPUTED_VALUE"""),"60143")</f>
        <v>60143</v>
      </c>
      <c r="G189" s="2"/>
      <c r="H189" s="2"/>
      <c r="I189" s="2"/>
    </row>
    <row r="190" spans="1:9" ht="13" x14ac:dyDescent="0.3">
      <c r="A190" s="2" t="str">
        <f ca="1">IFERROR(__xludf.DUMMYFUNCTION("""COMPUTED_VALUE"""),"HENRICKSEN &amp; COMPANY - MN")</f>
        <v>HENRICKSEN &amp; COMPANY - MN</v>
      </c>
      <c r="B190" s="3"/>
      <c r="C190" s="2" t="str">
        <f ca="1">IFERROR(__xludf.DUMMYFUNCTION("""COMPUTED_VALUE"""),"*1101 W THORNDALE")</f>
        <v>*1101 W THORNDALE</v>
      </c>
      <c r="D190" s="2" t="str">
        <f ca="1">IFERROR(__xludf.DUMMYFUNCTION("""COMPUTED_VALUE"""),"ITASCA")</f>
        <v>ITASCA</v>
      </c>
      <c r="E190" s="2" t="str">
        <f ca="1">IFERROR(__xludf.DUMMYFUNCTION("""COMPUTED_VALUE"""),"IL")</f>
        <v>IL</v>
      </c>
      <c r="F190" s="4" t="str">
        <f ca="1">IFERROR(__xludf.DUMMYFUNCTION("""COMPUTED_VALUE"""),"60143")</f>
        <v>60143</v>
      </c>
      <c r="G190" s="2"/>
      <c r="H190" s="2"/>
      <c r="I190" s="2"/>
    </row>
    <row r="191" spans="1:9" ht="13" x14ac:dyDescent="0.3">
      <c r="A191" s="2" t="str">
        <f ca="1">IFERROR(__xludf.DUMMYFUNCTION("""COMPUTED_VALUE"""),"HENRICKSEN &amp; COMPANY - NYC")</f>
        <v>HENRICKSEN &amp; COMPANY - NYC</v>
      </c>
      <c r="B191" s="3"/>
      <c r="C191" s="2" t="str">
        <f ca="1">IFERROR(__xludf.DUMMYFUNCTION("""COMPUTED_VALUE"""),"*1101 W THORNDALE")</f>
        <v>*1101 W THORNDALE</v>
      </c>
      <c r="D191" s="2" t="str">
        <f ca="1">IFERROR(__xludf.DUMMYFUNCTION("""COMPUTED_VALUE"""),"ITASCA")</f>
        <v>ITASCA</v>
      </c>
      <c r="E191" s="2" t="str">
        <f ca="1">IFERROR(__xludf.DUMMYFUNCTION("""COMPUTED_VALUE"""),"IL")</f>
        <v>IL</v>
      </c>
      <c r="F191" s="4" t="str">
        <f ca="1">IFERROR(__xludf.DUMMYFUNCTION("""COMPUTED_VALUE"""),"60143")</f>
        <v>60143</v>
      </c>
      <c r="G191" s="2"/>
      <c r="H191" s="2"/>
      <c r="I191" s="2"/>
    </row>
    <row r="192" spans="1:9" ht="13" x14ac:dyDescent="0.3">
      <c r="A192" s="2" t="str">
        <f ca="1">IFERROR(__xludf.DUMMYFUNCTION("""COMPUTED_VALUE"""),"HENRICKSEN &amp; COMPANY - WI")</f>
        <v>HENRICKSEN &amp; COMPANY - WI</v>
      </c>
      <c r="B192" s="3"/>
      <c r="C192" s="2" t="str">
        <f ca="1">IFERROR(__xludf.DUMMYFUNCTION("""COMPUTED_VALUE"""),"*1101 W THORNDALE")</f>
        <v>*1101 W THORNDALE</v>
      </c>
      <c r="D192" s="2" t="str">
        <f ca="1">IFERROR(__xludf.DUMMYFUNCTION("""COMPUTED_VALUE"""),"ITASCA")</f>
        <v>ITASCA</v>
      </c>
      <c r="E192" s="2" t="str">
        <f ca="1">IFERROR(__xludf.DUMMYFUNCTION("""COMPUTED_VALUE"""),"IL")</f>
        <v>IL</v>
      </c>
      <c r="F192" s="4" t="str">
        <f ca="1">IFERROR(__xludf.DUMMYFUNCTION("""COMPUTED_VALUE"""),"60143")</f>
        <v>60143</v>
      </c>
      <c r="G192" s="2"/>
      <c r="H192" s="2"/>
      <c r="I192" s="2"/>
    </row>
    <row r="193" spans="1:9" ht="13" x14ac:dyDescent="0.3">
      <c r="A193" s="2" t="str">
        <f ca="1">IFERROR(__xludf.DUMMYFUNCTION("""COMPUTED_VALUE"""),"HENRIKSEN/BUTLER DESIGN GROUP-SLC")</f>
        <v>HENRIKSEN/BUTLER DESIGN GROUP-SLC</v>
      </c>
      <c r="B193" s="3"/>
      <c r="C193" s="2" t="str">
        <f ca="1">IFERROR(__xludf.DUMMYFUNCTION("""COMPUTED_VALUE"""),"*249 S 400 E")</f>
        <v>*249 S 400 E</v>
      </c>
      <c r="D193" s="2" t="str">
        <f ca="1">IFERROR(__xludf.DUMMYFUNCTION("""COMPUTED_VALUE"""),"SALT LAKE CITY")</f>
        <v>SALT LAKE CITY</v>
      </c>
      <c r="E193" s="2" t="str">
        <f ca="1">IFERROR(__xludf.DUMMYFUNCTION("""COMPUTED_VALUE"""),"UT")</f>
        <v>UT</v>
      </c>
      <c r="F193" s="4" t="str">
        <f ca="1">IFERROR(__xludf.DUMMYFUNCTION("""COMPUTED_VALUE"""),"84111")</f>
        <v>84111</v>
      </c>
      <c r="G193" s="2"/>
      <c r="H193" s="2"/>
      <c r="I193" s="2"/>
    </row>
    <row r="194" spans="1:9" ht="13" x14ac:dyDescent="0.3">
      <c r="A194" s="2" t="str">
        <f ca="1">IFERROR(__xludf.DUMMYFUNCTION("""COMPUTED_VALUE"""),"HENRIKSEN/BUTLER NEVADA LLC-LAS VEGAS")</f>
        <v>HENRIKSEN/BUTLER NEVADA LLC-LAS VEGAS</v>
      </c>
      <c r="B194" s="3"/>
      <c r="C194" s="2" t="str">
        <f ca="1">IFERROR(__xludf.DUMMYFUNCTION("""COMPUTED_VALUE"""),"*249 S 400 E")</f>
        <v>*249 S 400 E</v>
      </c>
      <c r="D194" s="2" t="str">
        <f ca="1">IFERROR(__xludf.DUMMYFUNCTION("""COMPUTED_VALUE"""),"SALT LAKE CITY")</f>
        <v>SALT LAKE CITY</v>
      </c>
      <c r="E194" s="2" t="str">
        <f ca="1">IFERROR(__xludf.DUMMYFUNCTION("""COMPUTED_VALUE"""),"UT")</f>
        <v>UT</v>
      </c>
      <c r="F194" s="4" t="str">
        <f ca="1">IFERROR(__xludf.DUMMYFUNCTION("""COMPUTED_VALUE"""),"84111")</f>
        <v>84111</v>
      </c>
      <c r="G194" s="2"/>
      <c r="H194" s="2"/>
      <c r="I194" s="2"/>
    </row>
    <row r="195" spans="1:9" ht="13" x14ac:dyDescent="0.3">
      <c r="A195" s="2" t="str">
        <f ca="1">IFERROR(__xludf.DUMMYFUNCTION("""COMPUTED_VALUE"""),"HODGES BUSINESS INTERIORS INC")</f>
        <v>HODGES BUSINESS INTERIORS INC</v>
      </c>
      <c r="B195" s="3"/>
      <c r="C195" s="2" t="str">
        <f ca="1">IFERROR(__xludf.DUMMYFUNCTION("""COMPUTED_VALUE"""),"*308 HWY 75 N STE B")</f>
        <v>*308 HWY 75 N STE B</v>
      </c>
      <c r="D195" s="2" t="str">
        <f ca="1">IFERROR(__xludf.DUMMYFUNCTION("""COMPUTED_VALUE"""),"HUNTSVILLE")</f>
        <v>HUNTSVILLE</v>
      </c>
      <c r="E195" s="2" t="str">
        <f ca="1">IFERROR(__xludf.DUMMYFUNCTION("""COMPUTED_VALUE"""),"TX")</f>
        <v>TX</v>
      </c>
      <c r="F195" s="4" t="str">
        <f ca="1">IFERROR(__xludf.DUMMYFUNCTION("""COMPUTED_VALUE"""),"77320")</f>
        <v>77320</v>
      </c>
      <c r="G195" s="2"/>
      <c r="H195" s="2"/>
      <c r="I195" s="2"/>
    </row>
    <row r="196" spans="1:9" ht="13" x14ac:dyDescent="0.3">
      <c r="A196" s="2" t="str">
        <f ca="1">IFERROR(__xludf.DUMMYFUNCTION("""COMPUTED_VALUE"""),"HOWARD D HAPPY COMPANY")</f>
        <v>HOWARD D HAPPY COMPANY</v>
      </c>
      <c r="B196" s="3"/>
      <c r="C196" s="2" t="str">
        <f ca="1">IFERROR(__xludf.DUMMYFUNCTION("""COMPUTED_VALUE"""),"*1393 ST RT 45N")</f>
        <v>*1393 ST RT 45N</v>
      </c>
      <c r="D196" s="2" t="str">
        <f ca="1">IFERROR(__xludf.DUMMYFUNCTION("""COMPUTED_VALUE"""),"MAYFIELD")</f>
        <v>MAYFIELD</v>
      </c>
      <c r="E196" s="2" t="str">
        <f ca="1">IFERROR(__xludf.DUMMYFUNCTION("""COMPUTED_VALUE"""),"KY")</f>
        <v>KY</v>
      </c>
      <c r="F196" s="4" t="str">
        <f ca="1">IFERROR(__xludf.DUMMYFUNCTION("""COMPUTED_VALUE"""),"42066")</f>
        <v>42066</v>
      </c>
      <c r="G196" s="2"/>
      <c r="H196" s="2"/>
      <c r="I196" s="2"/>
    </row>
    <row r="197" spans="1:9" ht="13" x14ac:dyDescent="0.3">
      <c r="A197" s="2" t="str">
        <f ca="1">IFERROR(__xludf.DUMMYFUNCTION("""COMPUTED_VALUE"""),"HST INTERIOR ELEMENTS")</f>
        <v>HST INTERIOR ELEMENTS</v>
      </c>
      <c r="B197" s="3"/>
      <c r="C197" s="2" t="str">
        <f ca="1">IFERROR(__xludf.DUMMYFUNCTION("""COMPUTED_VALUE"""),"*680 RUNDLE AVE")</f>
        <v>*680 RUNDLE AVE</v>
      </c>
      <c r="D197" s="2" t="str">
        <f ca="1">IFERROR(__xludf.DUMMYFUNCTION("""COMPUTED_VALUE"""),"NASHVILLE")</f>
        <v>NASHVILLE</v>
      </c>
      <c r="E197" s="2" t="str">
        <f ca="1">IFERROR(__xludf.DUMMYFUNCTION("""COMPUTED_VALUE"""),"TN")</f>
        <v>TN</v>
      </c>
      <c r="F197" s="4" t="str">
        <f ca="1">IFERROR(__xludf.DUMMYFUNCTION("""COMPUTED_VALUE"""),"37210")</f>
        <v>37210</v>
      </c>
      <c r="G197" s="2"/>
      <c r="H197" s="2"/>
      <c r="I197" s="2"/>
    </row>
    <row r="198" spans="1:9" ht="13" x14ac:dyDescent="0.3">
      <c r="A198" s="2" t="str">
        <f ca="1">IFERROR(__xludf.DUMMYFUNCTION("""COMPUTED_VALUE"""),"HUSTONS COMMERCIAL INTERIORS")</f>
        <v>HUSTONS COMMERCIAL INTERIORS</v>
      </c>
      <c r="B198" s="3"/>
      <c r="C198" s="2" t="str">
        <f ca="1">IFERROR(__xludf.DUMMYFUNCTION("""COMPUTED_VALUE"""),"*3058 SE MONROE ST")</f>
        <v>*3058 SE MONROE ST</v>
      </c>
      <c r="D198" s="2" t="str">
        <f ca="1">IFERROR(__xludf.DUMMYFUNCTION("""COMPUTED_VALUE"""),"STUART")</f>
        <v>STUART</v>
      </c>
      <c r="E198" s="2" t="str">
        <f ca="1">IFERROR(__xludf.DUMMYFUNCTION("""COMPUTED_VALUE"""),"FL")</f>
        <v>FL</v>
      </c>
      <c r="F198" s="4" t="str">
        <f ca="1">IFERROR(__xludf.DUMMYFUNCTION("""COMPUTED_VALUE"""),"34997")</f>
        <v>34997</v>
      </c>
      <c r="G198" s="2"/>
      <c r="H198" s="2"/>
      <c r="I198" s="2"/>
    </row>
    <row r="199" spans="1:9" ht="13" x14ac:dyDescent="0.3">
      <c r="A199" s="2" t="str">
        <f ca="1">IFERROR(__xludf.DUMMYFUNCTION("""COMPUTED_VALUE"""),"HYPHN")</f>
        <v>HYPHN</v>
      </c>
      <c r="B199" s="3"/>
      <c r="C199" s="2" t="str">
        <f ca="1">IFERROR(__xludf.DUMMYFUNCTION("""COMPUTED_VALUE"""),"*620 NE 19TH AVE")</f>
        <v>*620 NE 19TH AVE</v>
      </c>
      <c r="D199" s="2" t="str">
        <f ca="1">IFERROR(__xludf.DUMMYFUNCTION("""COMPUTED_VALUE"""),"PORTLAND")</f>
        <v>PORTLAND</v>
      </c>
      <c r="E199" s="2" t="str">
        <f ca="1">IFERROR(__xludf.DUMMYFUNCTION("""COMPUTED_VALUE"""),"OR")</f>
        <v>OR</v>
      </c>
      <c r="F199" s="4" t="str">
        <f ca="1">IFERROR(__xludf.DUMMYFUNCTION("""COMPUTED_VALUE"""),"97232")</f>
        <v>97232</v>
      </c>
      <c r="G199" s="2"/>
      <c r="H199" s="2"/>
      <c r="I199" s="2"/>
    </row>
    <row r="200" spans="1:9" ht="13" x14ac:dyDescent="0.3">
      <c r="A200" s="2" t="str">
        <f ca="1">IFERROR(__xludf.DUMMYFUNCTION("""COMPUTED_VALUE"""),"ID&amp;A INC-EVANSVILLE")</f>
        <v>ID&amp;A INC-EVANSVILLE</v>
      </c>
      <c r="B200" s="3"/>
      <c r="C200" s="2" t="str">
        <f ca="1">IFERROR(__xludf.DUMMYFUNCTION("""COMPUTED_VALUE"""),"*1700 S 5TH ST")</f>
        <v>*1700 S 5TH ST</v>
      </c>
      <c r="D200" s="2" t="str">
        <f ca="1">IFERROR(__xludf.DUMMYFUNCTION("""COMPUTED_VALUE"""),"LOUISVILLE")</f>
        <v>LOUISVILLE</v>
      </c>
      <c r="E200" s="2" t="str">
        <f ca="1">IFERROR(__xludf.DUMMYFUNCTION("""COMPUTED_VALUE"""),"KY")</f>
        <v>KY</v>
      </c>
      <c r="F200" s="4" t="str">
        <f ca="1">IFERROR(__xludf.DUMMYFUNCTION("""COMPUTED_VALUE"""),"40208")</f>
        <v>40208</v>
      </c>
      <c r="G200" s="2"/>
      <c r="H200" s="2"/>
      <c r="I200" s="2"/>
    </row>
    <row r="201" spans="1:9" ht="13" x14ac:dyDescent="0.3">
      <c r="A201" s="2" t="str">
        <f ca="1">IFERROR(__xludf.DUMMYFUNCTION("""COMPUTED_VALUE"""),"ID&amp;A INC-LEXINGTON")</f>
        <v>ID&amp;A INC-LEXINGTON</v>
      </c>
      <c r="B201" s="3"/>
      <c r="C201" s="2" t="str">
        <f ca="1">IFERROR(__xludf.DUMMYFUNCTION("""COMPUTED_VALUE"""),"*1700 S 5TH ST")</f>
        <v>*1700 S 5TH ST</v>
      </c>
      <c r="D201" s="2" t="str">
        <f ca="1">IFERROR(__xludf.DUMMYFUNCTION("""COMPUTED_VALUE"""),"LOUISVILLE")</f>
        <v>LOUISVILLE</v>
      </c>
      <c r="E201" s="2" t="str">
        <f ca="1">IFERROR(__xludf.DUMMYFUNCTION("""COMPUTED_VALUE"""),"KY")</f>
        <v>KY</v>
      </c>
      <c r="F201" s="4" t="str">
        <f ca="1">IFERROR(__xludf.DUMMYFUNCTION("""COMPUTED_VALUE"""),"40208")</f>
        <v>40208</v>
      </c>
      <c r="G201" s="2"/>
      <c r="H201" s="2"/>
      <c r="I201" s="2"/>
    </row>
    <row r="202" spans="1:9" ht="13" x14ac:dyDescent="0.3">
      <c r="A202" s="2" t="str">
        <f ca="1">IFERROR(__xludf.DUMMYFUNCTION("""COMPUTED_VALUE"""),"ID&amp;A INC-LOUISVILLE")</f>
        <v>ID&amp;A INC-LOUISVILLE</v>
      </c>
      <c r="B202" s="3"/>
      <c r="C202" s="2" t="str">
        <f ca="1">IFERROR(__xludf.DUMMYFUNCTION("""COMPUTED_VALUE"""),"*1700 S 5TH ST")</f>
        <v>*1700 S 5TH ST</v>
      </c>
      <c r="D202" s="2" t="str">
        <f ca="1">IFERROR(__xludf.DUMMYFUNCTION("""COMPUTED_VALUE"""),"LOUISVILLE")</f>
        <v>LOUISVILLE</v>
      </c>
      <c r="E202" s="2" t="str">
        <f ca="1">IFERROR(__xludf.DUMMYFUNCTION("""COMPUTED_VALUE"""),"KY")</f>
        <v>KY</v>
      </c>
      <c r="F202" s="4" t="str">
        <f ca="1">IFERROR(__xludf.DUMMYFUNCTION("""COMPUTED_VALUE"""),"40208")</f>
        <v>40208</v>
      </c>
      <c r="G202" s="2"/>
      <c r="H202" s="2"/>
      <c r="I202" s="2"/>
    </row>
    <row r="203" spans="1:9" ht="13" x14ac:dyDescent="0.3">
      <c r="A203" s="2" t="str">
        <f ca="1">IFERROR(__xludf.DUMMYFUNCTION("""COMPUTED_VALUE"""),"ID&amp;A INC-NASHVILLE")</f>
        <v>ID&amp;A INC-NASHVILLE</v>
      </c>
      <c r="B203" s="3"/>
      <c r="C203" s="2" t="str">
        <f ca="1">IFERROR(__xludf.DUMMYFUNCTION("""COMPUTED_VALUE"""),"*1700 S 5TH ST")</f>
        <v>*1700 S 5TH ST</v>
      </c>
      <c r="D203" s="2" t="str">
        <f ca="1">IFERROR(__xludf.DUMMYFUNCTION("""COMPUTED_VALUE"""),"LOUISVILLE")</f>
        <v>LOUISVILLE</v>
      </c>
      <c r="E203" s="2" t="str">
        <f ca="1">IFERROR(__xludf.DUMMYFUNCTION("""COMPUTED_VALUE"""),"KY")</f>
        <v>KY</v>
      </c>
      <c r="F203" s="4" t="str">
        <f ca="1">IFERROR(__xludf.DUMMYFUNCTION("""COMPUTED_VALUE"""),"40208")</f>
        <v>40208</v>
      </c>
      <c r="G203" s="2"/>
      <c r="H203" s="2"/>
      <c r="I203" s="2"/>
    </row>
    <row r="204" spans="1:9" ht="13" x14ac:dyDescent="0.3">
      <c r="A204" s="2" t="str">
        <f ca="1">IFERROR(__xludf.DUMMYFUNCTION("""COMPUTED_VALUE"""),"ILLINI SUPPLY")</f>
        <v>ILLINI SUPPLY</v>
      </c>
      <c r="B204" s="3"/>
      <c r="C204" s="2" t="str">
        <f ca="1">IFERROR(__xludf.DUMMYFUNCTION("""COMPUTED_VALUE"""),"*111 ILLINI DR")</f>
        <v>*111 ILLINI DR</v>
      </c>
      <c r="D204" s="2" t="str">
        <f ca="1">IFERROR(__xludf.DUMMYFUNCTION("""COMPUTED_VALUE"""),"FORSYTH")</f>
        <v>FORSYTH</v>
      </c>
      <c r="E204" s="2" t="str">
        <f ca="1">IFERROR(__xludf.DUMMYFUNCTION("""COMPUTED_VALUE"""),"IL")</f>
        <v>IL</v>
      </c>
      <c r="F204" s="4" t="str">
        <f ca="1">IFERROR(__xludf.DUMMYFUNCTION("""COMPUTED_VALUE"""),"62535")</f>
        <v>62535</v>
      </c>
      <c r="G204" s="2"/>
      <c r="H204" s="2"/>
      <c r="I204" s="2"/>
    </row>
    <row r="205" spans="1:9" ht="13" x14ac:dyDescent="0.3">
      <c r="A205" s="2" t="str">
        <f ca="1">IFERROR(__xludf.DUMMYFUNCTION("""COMPUTED_VALUE"""),"IMAGE BUSINESS INTERIORS LLC")</f>
        <v>IMAGE BUSINESS INTERIORS LLC</v>
      </c>
      <c r="B205" s="3"/>
      <c r="C205" s="2" t="str">
        <f ca="1">IFERROR(__xludf.DUMMYFUNCTION("""COMPUTED_VALUE"""),"*332 N GREAT NECK RD STE 105")</f>
        <v>*332 N GREAT NECK RD STE 105</v>
      </c>
      <c r="D205" s="2" t="str">
        <f ca="1">IFERROR(__xludf.DUMMYFUNCTION("""COMPUTED_VALUE"""),"VIRGINIA BEACH")</f>
        <v>VIRGINIA BEACH</v>
      </c>
      <c r="E205" s="2" t="str">
        <f ca="1">IFERROR(__xludf.DUMMYFUNCTION("""COMPUTED_VALUE"""),"VA")</f>
        <v>VA</v>
      </c>
      <c r="F205" s="4" t="str">
        <f ca="1">IFERROR(__xludf.DUMMYFUNCTION("""COMPUTED_VALUE"""),"23454")</f>
        <v>23454</v>
      </c>
      <c r="G205" s="2"/>
      <c r="H205" s="2"/>
      <c r="I205" s="2"/>
    </row>
    <row r="206" spans="1:9" ht="13" x14ac:dyDescent="0.3">
      <c r="A206" s="2" t="str">
        <f ca="1">IFERROR(__xludf.DUMMYFUNCTION("""COMPUTED_VALUE"""),"INNERPLAN OFFICE INTERIORS")</f>
        <v>INNERPLAN OFFICE INTERIORS</v>
      </c>
      <c r="B206" s="3"/>
      <c r="C206" s="2" t="str">
        <f ca="1">IFERROR(__xludf.DUMMYFUNCTION("""COMPUTED_VALUE"""),"*7001 INNERPLAN DR")</f>
        <v>*7001 INNERPLAN DR</v>
      </c>
      <c r="D206" s="2" t="str">
        <f ca="1">IFERROR(__xludf.DUMMYFUNCTION("""COMPUTED_VALUE"""),"MAUMELLE")</f>
        <v>MAUMELLE</v>
      </c>
      <c r="E206" s="2" t="str">
        <f ca="1">IFERROR(__xludf.DUMMYFUNCTION("""COMPUTED_VALUE"""),"AR")</f>
        <v>AR</v>
      </c>
      <c r="F206" s="4" t="str">
        <f ca="1">IFERROR(__xludf.DUMMYFUNCTION("""COMPUTED_VALUE"""),"72113")</f>
        <v>72113</v>
      </c>
      <c r="G206" s="2"/>
      <c r="H206" s="2"/>
      <c r="I206" s="2"/>
    </row>
    <row r="207" spans="1:9" ht="13" x14ac:dyDescent="0.3">
      <c r="A207" s="2" t="str">
        <f ca="1">IFERROR(__xludf.DUMMYFUNCTION("""COMPUTED_VALUE"""),"INNERSPAICE ARCHITECTURAL INTERIORS")</f>
        <v>INNERSPAICE ARCHITECTURAL INTERIORS</v>
      </c>
      <c r="B207" s="3"/>
      <c r="C207" s="2" t="str">
        <f ca="1">IFERROR(__xludf.DUMMYFUNCTION("""COMPUTED_VALUE"""),"*P O BOX 1911")</f>
        <v>*P O BOX 1911</v>
      </c>
      <c r="D207" s="2" t="str">
        <f ca="1">IFERROR(__xludf.DUMMYFUNCTION("""COMPUTED_VALUE"""),"BIRMINGHAM")</f>
        <v>BIRMINGHAM</v>
      </c>
      <c r="E207" s="2" t="str">
        <f ca="1">IFERROR(__xludf.DUMMYFUNCTION("""COMPUTED_VALUE"""),"AL")</f>
        <v>AL</v>
      </c>
      <c r="F207" s="4" t="str">
        <f ca="1">IFERROR(__xludf.DUMMYFUNCTION("""COMPUTED_VALUE"""),"35201")</f>
        <v>35201</v>
      </c>
      <c r="G207" s="2"/>
      <c r="H207" s="2"/>
      <c r="I207" s="2"/>
    </row>
    <row r="208" spans="1:9" ht="13" x14ac:dyDescent="0.3">
      <c r="A208" s="2" t="str">
        <f ca="1">IFERROR(__xludf.DUMMYFUNCTION("""COMPUTED_VALUE"""),"INNERSPAICE ARCHITECTURAL INTERIORS LLC")</f>
        <v>INNERSPAICE ARCHITECTURAL INTERIORS LLC</v>
      </c>
      <c r="B208" s="3"/>
      <c r="C208" s="2" t="str">
        <f ca="1">IFERROR(__xludf.DUMMYFUNCTION("""COMPUTED_VALUE"""),"*139 SE EGLIN PKWY")</f>
        <v>*139 SE EGLIN PKWY</v>
      </c>
      <c r="D208" s="2" t="str">
        <f ca="1">IFERROR(__xludf.DUMMYFUNCTION("""COMPUTED_VALUE"""),"FORT WALTON BEACH")</f>
        <v>FORT WALTON BEACH</v>
      </c>
      <c r="E208" s="2" t="str">
        <f ca="1">IFERROR(__xludf.DUMMYFUNCTION("""COMPUTED_VALUE"""),"FL")</f>
        <v>FL</v>
      </c>
      <c r="F208" s="4" t="str">
        <f ca="1">IFERROR(__xludf.DUMMYFUNCTION("""COMPUTED_VALUE"""),"32548")</f>
        <v>32548</v>
      </c>
      <c r="G208" s="2"/>
      <c r="H208" s="2"/>
      <c r="I208" s="2"/>
    </row>
    <row r="209" spans="1:9" ht="13" x14ac:dyDescent="0.3">
      <c r="A209" s="2" t="str">
        <f ca="1">IFERROR(__xludf.DUMMYFUNCTION("""COMPUTED_VALUE"""),"INNERSPAICE ARCHITECTURAL INTERIORS LLC-AL")</f>
        <v>INNERSPAICE ARCHITECTURAL INTERIORS LLC-AL</v>
      </c>
      <c r="B209" s="3"/>
      <c r="C209" s="2" t="str">
        <f ca="1">IFERROR(__xludf.DUMMYFUNCTION("""COMPUTED_VALUE"""),"*P O BOX 1911")</f>
        <v>*P O BOX 1911</v>
      </c>
      <c r="D209" s="2" t="str">
        <f ca="1">IFERROR(__xludf.DUMMYFUNCTION("""COMPUTED_VALUE"""),"BIRMINGHAM")</f>
        <v>BIRMINGHAM</v>
      </c>
      <c r="E209" s="2" t="str">
        <f ca="1">IFERROR(__xludf.DUMMYFUNCTION("""COMPUTED_VALUE"""),"AL")</f>
        <v>AL</v>
      </c>
      <c r="F209" s="4" t="str">
        <f ca="1">IFERROR(__xludf.DUMMYFUNCTION("""COMPUTED_VALUE"""),"35201")</f>
        <v>35201</v>
      </c>
      <c r="G209" s="2"/>
      <c r="H209" s="2"/>
      <c r="I209" s="2"/>
    </row>
    <row r="210" spans="1:9" ht="13" x14ac:dyDescent="0.3">
      <c r="A210" s="2" t="str">
        <f ca="1">IFERROR(__xludf.DUMMYFUNCTION("""COMPUTED_VALUE"""),"INNERSPAICE ARCHITECTURAL INTERIORS LLC-FL")</f>
        <v>INNERSPAICE ARCHITECTURAL INTERIORS LLC-FL</v>
      </c>
      <c r="B210" s="3"/>
      <c r="C210" s="2" t="str">
        <f ca="1">IFERROR(__xludf.DUMMYFUNCTION("""COMPUTED_VALUE"""),"*139 SE EGLIN PKWY")</f>
        <v>*139 SE EGLIN PKWY</v>
      </c>
      <c r="D210" s="2" t="str">
        <f ca="1">IFERROR(__xludf.DUMMYFUNCTION("""COMPUTED_VALUE"""),"FORT WALTON BEACH")</f>
        <v>FORT WALTON BEACH</v>
      </c>
      <c r="E210" s="2" t="str">
        <f ca="1">IFERROR(__xludf.DUMMYFUNCTION("""COMPUTED_VALUE"""),"FL")</f>
        <v>FL</v>
      </c>
      <c r="F210" s="4" t="str">
        <f ca="1">IFERROR(__xludf.DUMMYFUNCTION("""COMPUTED_VALUE"""),"32548")</f>
        <v>32548</v>
      </c>
      <c r="G210" s="2"/>
      <c r="H210" s="2"/>
      <c r="I210" s="2"/>
    </row>
    <row r="211" spans="1:9" ht="13" x14ac:dyDescent="0.3">
      <c r="A211" s="2" t="str">
        <f ca="1">IFERROR(__xludf.DUMMYFUNCTION("""COMPUTED_VALUE"""),"INNOVATIVE BUSINESS FURNITURE INC")</f>
        <v>INNOVATIVE BUSINESS FURNITURE INC</v>
      </c>
      <c r="B211" s="3"/>
      <c r="C211" s="2" t="str">
        <f ca="1">IFERROR(__xludf.DUMMYFUNCTION("""COMPUTED_VALUE"""),"*3837 ELM SPGS RD STE B")</f>
        <v>*3837 ELM SPGS RD STE B</v>
      </c>
      <c r="D211" s="2" t="str">
        <f ca="1">IFERROR(__xludf.DUMMYFUNCTION("""COMPUTED_VALUE"""),"SPRINGDALE")</f>
        <v>SPRINGDALE</v>
      </c>
      <c r="E211" s="2" t="str">
        <f ca="1">IFERROR(__xludf.DUMMYFUNCTION("""COMPUTED_VALUE"""),"AR")</f>
        <v>AR</v>
      </c>
      <c r="F211" s="4" t="str">
        <f ca="1">IFERROR(__xludf.DUMMYFUNCTION("""COMPUTED_VALUE"""),"72762")</f>
        <v>72762</v>
      </c>
      <c r="G211" s="2"/>
      <c r="H211" s="2"/>
      <c r="I211" s="2"/>
    </row>
    <row r="212" spans="1:9" ht="13" x14ac:dyDescent="0.3">
      <c r="A212" s="2" t="str">
        <f ca="1">IFERROR(__xludf.DUMMYFUNCTION("""COMPUTED_VALUE"""),"INNOVATIVE COMMERCIAL ENVIRONMENTS")</f>
        <v>INNOVATIVE COMMERCIAL ENVIRONMENTS</v>
      </c>
      <c r="B212" s="3" t="str">
        <f ca="1">IFERROR(__xludf.DUMMYFUNCTION("""COMPUTED_VALUE"""),"SDB, SWBE")</f>
        <v>SDB, SWBE</v>
      </c>
      <c r="C212" s="2" t="str">
        <f ca="1">IFERROR(__xludf.DUMMYFUNCTION("""COMPUTED_VALUE"""),"*9645 SCRANTON RD  STE 165")</f>
        <v>*9645 SCRANTON RD  STE 165</v>
      </c>
      <c r="D212" s="2" t="str">
        <f ca="1">IFERROR(__xludf.DUMMYFUNCTION("""COMPUTED_VALUE"""),"SAN DIEGO")</f>
        <v>SAN DIEGO</v>
      </c>
      <c r="E212" s="2" t="str">
        <f ca="1">IFERROR(__xludf.DUMMYFUNCTION("""COMPUTED_VALUE"""),"CA")</f>
        <v>CA</v>
      </c>
      <c r="F212" s="4" t="str">
        <f ca="1">IFERROR(__xludf.DUMMYFUNCTION("""COMPUTED_VALUE"""),"92121")</f>
        <v>92121</v>
      </c>
      <c r="G212" s="2"/>
      <c r="H212" s="2"/>
      <c r="I212" s="2"/>
    </row>
    <row r="213" spans="1:9" ht="13" x14ac:dyDescent="0.3">
      <c r="A213" s="2" t="str">
        <f ca="1">IFERROR(__xludf.DUMMYFUNCTION("""COMPUTED_VALUE"""),"INNOVATIVE OFFICE SOLUTIONS-MN")</f>
        <v>INNOVATIVE OFFICE SOLUTIONS-MN</v>
      </c>
      <c r="B213" s="3" t="str">
        <f ca="1">IFERROR(__xludf.DUMMYFUNCTION("""COMPUTED_VALUE"""),"WO")</f>
        <v>WO</v>
      </c>
      <c r="C213" s="2" t="str">
        <f ca="1">IFERROR(__xludf.DUMMYFUNCTION("""COMPUTED_VALUE"""),"*151 E CLIFF RD")</f>
        <v>*151 E CLIFF RD</v>
      </c>
      <c r="D213" s="2" t="str">
        <f ca="1">IFERROR(__xludf.DUMMYFUNCTION("""COMPUTED_VALUE"""),"BURNSVILLE")</f>
        <v>BURNSVILLE</v>
      </c>
      <c r="E213" s="2" t="str">
        <f ca="1">IFERROR(__xludf.DUMMYFUNCTION("""COMPUTED_VALUE"""),"MN")</f>
        <v>MN</v>
      </c>
      <c r="F213" s="4" t="str">
        <f ca="1">IFERROR(__xludf.DUMMYFUNCTION("""COMPUTED_VALUE"""),"55337")</f>
        <v>55337</v>
      </c>
      <c r="G213" s="2"/>
      <c r="H213" s="2"/>
      <c r="I213" s="2"/>
    </row>
    <row r="214" spans="1:9" ht="13" x14ac:dyDescent="0.3">
      <c r="A214" s="2" t="str">
        <f ca="1">IFERROR(__xludf.DUMMYFUNCTION("""COMPUTED_VALUE"""),"INNOVATIVE OFFICE SOLUTIONS-SD")</f>
        <v>INNOVATIVE OFFICE SOLUTIONS-SD</v>
      </c>
      <c r="B214" s="3"/>
      <c r="C214" s="2" t="str">
        <f ca="1">IFERROR(__xludf.DUMMYFUNCTION("""COMPUTED_VALUE"""),"*P O BOX 84040")</f>
        <v>*P O BOX 84040</v>
      </c>
      <c r="D214" s="2" t="str">
        <f ca="1">IFERROR(__xludf.DUMMYFUNCTION("""COMPUTED_VALUE"""),"SIOUX FALLS")</f>
        <v>SIOUX FALLS</v>
      </c>
      <c r="E214" s="2" t="str">
        <f ca="1">IFERROR(__xludf.DUMMYFUNCTION("""COMPUTED_VALUE"""),"SD")</f>
        <v>SD</v>
      </c>
      <c r="F214" s="4" t="str">
        <f ca="1">IFERROR(__xludf.DUMMYFUNCTION("""COMPUTED_VALUE"""),"57118-4040")</f>
        <v>57118-4040</v>
      </c>
      <c r="G214" s="2"/>
      <c r="H214" s="2"/>
      <c r="I214" s="2"/>
    </row>
    <row r="215" spans="1:9" ht="13" x14ac:dyDescent="0.3">
      <c r="A215" s="2" t="str">
        <f ca="1">IFERROR(__xludf.DUMMYFUNCTION("""COMPUTED_VALUE"""),"INSIDE SOURCE-SAN CARLOS")</f>
        <v>INSIDE SOURCE-SAN CARLOS</v>
      </c>
      <c r="B215" s="3"/>
      <c r="C215" s="2" t="str">
        <f ca="1">IFERROR(__xludf.DUMMYFUNCTION("""COMPUTED_VALUE"""),"*985 INDUSTRIAL RD STE 101")</f>
        <v>*985 INDUSTRIAL RD STE 101</v>
      </c>
      <c r="D215" s="2" t="str">
        <f ca="1">IFERROR(__xludf.DUMMYFUNCTION("""COMPUTED_VALUE"""),"SAN CARLOS")</f>
        <v>SAN CARLOS</v>
      </c>
      <c r="E215" s="2" t="str">
        <f ca="1">IFERROR(__xludf.DUMMYFUNCTION("""COMPUTED_VALUE"""),"CA")</f>
        <v>CA</v>
      </c>
      <c r="F215" s="4" t="str">
        <f ca="1">IFERROR(__xludf.DUMMYFUNCTION("""COMPUTED_VALUE"""),"94070")</f>
        <v>94070</v>
      </c>
      <c r="G215" s="2"/>
      <c r="H215" s="2"/>
      <c r="I215" s="2"/>
    </row>
    <row r="216" spans="1:9" ht="13" x14ac:dyDescent="0.3">
      <c r="A216" s="2" t="str">
        <f ca="1">IFERROR(__xludf.DUMMYFUNCTION("""COMPUTED_VALUE"""),"INTEGRATED FACILITIES GROUP")</f>
        <v>INTEGRATED FACILITIES GROUP</v>
      </c>
      <c r="B216" s="3"/>
      <c r="C216" s="2" t="str">
        <f ca="1">IFERROR(__xludf.DUMMYFUNCTION("""COMPUTED_VALUE"""),"*1735 E 2ND ST NORTH STE B")</f>
        <v>*1735 E 2ND ST NORTH STE B</v>
      </c>
      <c r="D216" s="2" t="str">
        <f ca="1">IFERROR(__xludf.DUMMYFUNCTION("""COMPUTED_VALUE"""),"WICHITA")</f>
        <v>WICHITA</v>
      </c>
      <c r="E216" s="2" t="str">
        <f ca="1">IFERROR(__xludf.DUMMYFUNCTION("""COMPUTED_VALUE"""),"KS")</f>
        <v>KS</v>
      </c>
      <c r="F216" s="4" t="str">
        <f ca="1">IFERROR(__xludf.DUMMYFUNCTION("""COMPUTED_VALUE"""),"67214")</f>
        <v>67214</v>
      </c>
      <c r="G216" s="2"/>
      <c r="H216" s="2"/>
      <c r="I216" s="2"/>
    </row>
    <row r="217" spans="1:9" ht="13" x14ac:dyDescent="0.3">
      <c r="A217" s="2" t="str">
        <f ca="1">IFERROR(__xludf.DUMMYFUNCTION("""COMPUTED_VALUE"""),"INTELLIGENT COMMERCIAL ENVIRONMENTS")</f>
        <v>INTELLIGENT COMMERCIAL ENVIRONMENTS</v>
      </c>
      <c r="B217" s="3"/>
      <c r="C217" s="2" t="str">
        <f ca="1">IFERROR(__xludf.DUMMYFUNCTION("""COMPUTED_VALUE"""),"*6120 GREENWOOD PLAZA BLVD")</f>
        <v>*6120 GREENWOOD PLAZA BLVD</v>
      </c>
      <c r="D217" s="2" t="str">
        <f ca="1">IFERROR(__xludf.DUMMYFUNCTION("""COMPUTED_VALUE"""),"GREENWOOD VILLAGE")</f>
        <v>GREENWOOD VILLAGE</v>
      </c>
      <c r="E217" s="2" t="str">
        <f ca="1">IFERROR(__xludf.DUMMYFUNCTION("""COMPUTED_VALUE"""),"CO")</f>
        <v>CO</v>
      </c>
      <c r="F217" s="4" t="str">
        <f ca="1">IFERROR(__xludf.DUMMYFUNCTION("""COMPUTED_VALUE"""),"80111")</f>
        <v>80111</v>
      </c>
      <c r="G217" s="2"/>
      <c r="H217" s="2"/>
      <c r="I217" s="2"/>
    </row>
    <row r="218" spans="1:9" ht="13" x14ac:dyDescent="0.3">
      <c r="A218" s="2" t="str">
        <f ca="1">IFERROR(__xludf.DUMMYFUNCTION("""COMPUTED_VALUE"""),"INTELLIGENT INTERIORS INC")</f>
        <v>INTELLIGENT INTERIORS INC</v>
      </c>
      <c r="B218" s="3"/>
      <c r="C218" s="2" t="str">
        <f ca="1">IFERROR(__xludf.DUMMYFUNCTION("""COMPUTED_VALUE"""),"*16837 ADDISON RD STE 500")</f>
        <v>*16837 ADDISON RD STE 500</v>
      </c>
      <c r="D218" s="2" t="str">
        <f ca="1">IFERROR(__xludf.DUMMYFUNCTION("""COMPUTED_VALUE"""),"ADDISON")</f>
        <v>ADDISON</v>
      </c>
      <c r="E218" s="2" t="str">
        <f ca="1">IFERROR(__xludf.DUMMYFUNCTION("""COMPUTED_VALUE"""),"TX")</f>
        <v>TX</v>
      </c>
      <c r="F218" s="4" t="str">
        <f ca="1">IFERROR(__xludf.DUMMYFUNCTION("""COMPUTED_VALUE"""),"75001")</f>
        <v>75001</v>
      </c>
      <c r="G218" s="2"/>
      <c r="H218" s="2"/>
      <c r="I218" s="2"/>
    </row>
    <row r="219" spans="1:9" ht="13" x14ac:dyDescent="0.3">
      <c r="A219" s="2" t="str">
        <f ca="1">IFERROR(__xludf.DUMMYFUNCTION("""COMPUTED_VALUE"""),"INTEREUM INC")</f>
        <v>INTEREUM INC</v>
      </c>
      <c r="B219" s="3"/>
      <c r="C219" s="2" t="str">
        <f ca="1">IFERROR(__xludf.DUMMYFUNCTION("""COMPUTED_VALUE"""),"*9800 8TH AVE N")</f>
        <v>*9800 8TH AVE N</v>
      </c>
      <c r="D219" s="2" t="str">
        <f ca="1">IFERROR(__xludf.DUMMYFUNCTION("""COMPUTED_VALUE"""),"PLYMOUTH")</f>
        <v>PLYMOUTH</v>
      </c>
      <c r="E219" s="2" t="str">
        <f ca="1">IFERROR(__xludf.DUMMYFUNCTION("""COMPUTED_VALUE"""),"MN")</f>
        <v>MN</v>
      </c>
      <c r="F219" s="4" t="str">
        <f ca="1">IFERROR(__xludf.DUMMYFUNCTION("""COMPUTED_VALUE"""),"55441")</f>
        <v>55441</v>
      </c>
      <c r="G219" s="2"/>
      <c r="H219" s="2"/>
      <c r="I219" s="2"/>
    </row>
    <row r="220" spans="1:9" ht="13" x14ac:dyDescent="0.3">
      <c r="A220" s="2" t="str">
        <f ca="1">IFERROR(__xludf.DUMMYFUNCTION("""COMPUTED_VALUE"""),"INTERIOR ELEMENTS-CHARLOTTE NC")</f>
        <v>INTERIOR ELEMENTS-CHARLOTTE NC</v>
      </c>
      <c r="B220" s="3"/>
      <c r="C220" s="2" t="str">
        <f ca="1">IFERROR(__xludf.DUMMYFUNCTION("""COMPUTED_VALUE"""),"*830 WILSON DR STE A")</f>
        <v>*830 WILSON DR STE A</v>
      </c>
      <c r="D220" s="2" t="str">
        <f ca="1">IFERROR(__xludf.DUMMYFUNCTION("""COMPUTED_VALUE"""),"RIDGELAND")</f>
        <v>RIDGELAND</v>
      </c>
      <c r="E220" s="2" t="str">
        <f ca="1">IFERROR(__xludf.DUMMYFUNCTION("""COMPUTED_VALUE"""),"MS")</f>
        <v>MS</v>
      </c>
      <c r="F220" s="4" t="str">
        <f ca="1">IFERROR(__xludf.DUMMYFUNCTION("""COMPUTED_VALUE"""),"39157")</f>
        <v>39157</v>
      </c>
      <c r="G220" s="2"/>
      <c r="H220" s="2"/>
      <c r="I220" s="2"/>
    </row>
    <row r="221" spans="1:9" ht="13" x14ac:dyDescent="0.3">
      <c r="A221" s="2" t="str">
        <f ca="1">IFERROR(__xludf.DUMMYFUNCTION("""COMPUTED_VALUE"""),"INTERIOR ELEMENTS-SC")</f>
        <v>INTERIOR ELEMENTS-SC</v>
      </c>
      <c r="B221" s="3"/>
      <c r="C221" s="2" t="str">
        <f ca="1">IFERROR(__xludf.DUMMYFUNCTION("""COMPUTED_VALUE"""),"*830 WILSON DR STE A")</f>
        <v>*830 WILSON DR STE A</v>
      </c>
      <c r="D221" s="2" t="str">
        <f ca="1">IFERROR(__xludf.DUMMYFUNCTION("""COMPUTED_VALUE"""),"RIDGELAND")</f>
        <v>RIDGELAND</v>
      </c>
      <c r="E221" s="2" t="str">
        <f ca="1">IFERROR(__xludf.DUMMYFUNCTION("""COMPUTED_VALUE"""),"MS")</f>
        <v>MS</v>
      </c>
      <c r="F221" s="4" t="str">
        <f ca="1">IFERROR(__xludf.DUMMYFUNCTION("""COMPUTED_VALUE"""),"39157")</f>
        <v>39157</v>
      </c>
      <c r="G221" s="2"/>
      <c r="H221" s="2"/>
      <c r="I221" s="2"/>
    </row>
    <row r="222" spans="1:9" ht="13" x14ac:dyDescent="0.3">
      <c r="A222" s="2" t="str">
        <f ca="1">IFERROR(__xludf.DUMMYFUNCTION("""COMPUTED_VALUE"""),"INTERIOR ENVIRONMENTS-IE CONNECT")</f>
        <v>INTERIOR ENVIRONMENTS-IE CONNECT</v>
      </c>
      <c r="B222" s="3"/>
      <c r="C222" s="2" t="str">
        <f ca="1">IFERROR(__xludf.DUMMYFUNCTION("""COMPUTED_VALUE"""),"*1331 19TH ST")</f>
        <v>*1331 19TH ST</v>
      </c>
      <c r="D222" s="2" t="str">
        <f ca="1">IFERROR(__xludf.DUMMYFUNCTION("""COMPUTED_VALUE"""),"DENVER")</f>
        <v>DENVER</v>
      </c>
      <c r="E222" s="2" t="str">
        <f ca="1">IFERROR(__xludf.DUMMYFUNCTION("""COMPUTED_VALUE"""),"CO")</f>
        <v>CO</v>
      </c>
      <c r="F222" s="4" t="str">
        <f ca="1">IFERROR(__xludf.DUMMYFUNCTION("""COMPUTED_VALUE"""),"80202")</f>
        <v>80202</v>
      </c>
      <c r="G222" s="2"/>
      <c r="H222" s="2"/>
      <c r="I222" s="2"/>
    </row>
    <row r="223" spans="1:9" ht="13" x14ac:dyDescent="0.3">
      <c r="A223" s="2" t="str">
        <f ca="1">IFERROR(__xludf.DUMMYFUNCTION("""COMPUTED_VALUE"""),"INTERIOR INVESTMENTS LLC-IL")</f>
        <v>INTERIOR INVESTMENTS LLC-IL</v>
      </c>
      <c r="B223" s="3"/>
      <c r="C223" s="2" t="str">
        <f ca="1">IFERROR(__xludf.DUMMYFUNCTION("""COMPUTED_VALUE"""),"*550 BOND ST")</f>
        <v>*550 BOND ST</v>
      </c>
      <c r="D223" s="2" t="str">
        <f ca="1">IFERROR(__xludf.DUMMYFUNCTION("""COMPUTED_VALUE"""),"LINCOLNSHIRE")</f>
        <v>LINCOLNSHIRE</v>
      </c>
      <c r="E223" s="2" t="str">
        <f ca="1">IFERROR(__xludf.DUMMYFUNCTION("""COMPUTED_VALUE"""),"IL")</f>
        <v>IL</v>
      </c>
      <c r="F223" s="4" t="str">
        <f ca="1">IFERROR(__xludf.DUMMYFUNCTION("""COMPUTED_VALUE"""),"60069-4206")</f>
        <v>60069-4206</v>
      </c>
      <c r="G223" s="2"/>
      <c r="H223" s="2"/>
      <c r="I223" s="2"/>
    </row>
    <row r="224" spans="1:9" ht="13" x14ac:dyDescent="0.3">
      <c r="A224" s="2" t="str">
        <f ca="1">IFERROR(__xludf.DUMMYFUNCTION("""COMPUTED_VALUE"""),"INTERIOR INVESTMENTS LLC-MADISON")</f>
        <v>INTERIOR INVESTMENTS LLC-MADISON</v>
      </c>
      <c r="B224" s="3"/>
      <c r="C224" s="2" t="str">
        <f ca="1">IFERROR(__xludf.DUMMYFUNCTION("""COMPUTED_VALUE"""),"*4001 FELLAND RD STE M")</f>
        <v>*4001 FELLAND RD STE M</v>
      </c>
      <c r="D224" s="2" t="str">
        <f ca="1">IFERROR(__xludf.DUMMYFUNCTION("""COMPUTED_VALUE"""),"MADISON")</f>
        <v>MADISON</v>
      </c>
      <c r="E224" s="2" t="str">
        <f ca="1">IFERROR(__xludf.DUMMYFUNCTION("""COMPUTED_VALUE"""),"WI")</f>
        <v>WI</v>
      </c>
      <c r="F224" s="4" t="str">
        <f ca="1">IFERROR(__xludf.DUMMYFUNCTION("""COMPUTED_VALUE"""),"53718")</f>
        <v>53718</v>
      </c>
      <c r="G224" s="2"/>
      <c r="H224" s="2"/>
      <c r="I224" s="2"/>
    </row>
    <row r="225" spans="1:9" ht="13" x14ac:dyDescent="0.3">
      <c r="A225" s="2" t="str">
        <f ca="1">IFERROR(__xludf.DUMMYFUNCTION("""COMPUTED_VALUE"""),"INTERIOR INVESTMENTS LLC-MILWAUKEE")</f>
        <v>INTERIOR INVESTMENTS LLC-MILWAUKEE</v>
      </c>
      <c r="B225" s="3"/>
      <c r="C225" s="2" t="str">
        <f ca="1">IFERROR(__xludf.DUMMYFUNCTION("""COMPUTED_VALUE"""),"*756 N MILWAUKEE ST STE 100")</f>
        <v>*756 N MILWAUKEE ST STE 100</v>
      </c>
      <c r="D225" s="2" t="str">
        <f ca="1">IFERROR(__xludf.DUMMYFUNCTION("""COMPUTED_VALUE"""),"MILWAUKEE")</f>
        <v>MILWAUKEE</v>
      </c>
      <c r="E225" s="2" t="str">
        <f ca="1">IFERROR(__xludf.DUMMYFUNCTION("""COMPUTED_VALUE"""),"WI")</f>
        <v>WI</v>
      </c>
      <c r="F225" s="4" t="str">
        <f ca="1">IFERROR(__xludf.DUMMYFUNCTION("""COMPUTED_VALUE"""),"53202")</f>
        <v>53202</v>
      </c>
      <c r="G225" s="2"/>
      <c r="H225" s="2"/>
      <c r="I225" s="2"/>
    </row>
    <row r="226" spans="1:9" ht="13" x14ac:dyDescent="0.3">
      <c r="A226" s="2" t="str">
        <f ca="1">IFERROR(__xludf.DUMMYFUNCTION("""COMPUTED_VALUE"""),"INTERIOR INVESTMENTS LLC-MO")</f>
        <v>INTERIOR INVESTMENTS LLC-MO</v>
      </c>
      <c r="B226" s="3"/>
      <c r="C226" s="2" t="str">
        <f ca="1">IFERROR(__xludf.DUMMYFUNCTION("""COMPUTED_VALUE"""),"*9 SUNNEN DR STE 100")</f>
        <v>*9 SUNNEN DR STE 100</v>
      </c>
      <c r="D226" s="2" t="str">
        <f ca="1">IFERROR(__xludf.DUMMYFUNCTION("""COMPUTED_VALUE"""),"SAINT LOUIS")</f>
        <v>SAINT LOUIS</v>
      </c>
      <c r="E226" s="2" t="str">
        <f ca="1">IFERROR(__xludf.DUMMYFUNCTION("""COMPUTED_VALUE"""),"MO")</f>
        <v>MO</v>
      </c>
      <c r="F226" s="4" t="str">
        <f ca="1">IFERROR(__xludf.DUMMYFUNCTION("""COMPUTED_VALUE"""),"63143")</f>
        <v>63143</v>
      </c>
      <c r="G226" s="2"/>
      <c r="H226" s="2"/>
      <c r="I226" s="2"/>
    </row>
    <row r="227" spans="1:9" ht="13" x14ac:dyDescent="0.3">
      <c r="A227" s="2" t="str">
        <f ca="1">IFERROR(__xludf.DUMMYFUNCTION("""COMPUTED_VALUE"""),"INTERIOR MOTIONS")</f>
        <v>INTERIOR MOTIONS</v>
      </c>
      <c r="B227" s="3"/>
      <c r="C227" s="2" t="str">
        <f ca="1">IFERROR(__xludf.DUMMYFUNCTION("""COMPUTED_VALUE"""),"*1465 PK AVE")</f>
        <v>*1465 PK AVE</v>
      </c>
      <c r="D227" s="2" t="str">
        <f ca="1">IFERROR(__xludf.DUMMYFUNCTION("""COMPUTED_VALUE"""),"EMERYVILLE")</f>
        <v>EMERYVILLE</v>
      </c>
      <c r="E227" s="2" t="str">
        <f ca="1">IFERROR(__xludf.DUMMYFUNCTION("""COMPUTED_VALUE"""),"CA")</f>
        <v>CA</v>
      </c>
      <c r="F227" s="4" t="str">
        <f ca="1">IFERROR(__xludf.DUMMYFUNCTION("""COMPUTED_VALUE"""),"94608")</f>
        <v>94608</v>
      </c>
      <c r="G227" s="2"/>
      <c r="H227" s="2"/>
      <c r="I227" s="2"/>
    </row>
    <row r="228" spans="1:9" ht="13" x14ac:dyDescent="0.3">
      <c r="A228" s="2" t="str">
        <f ca="1">IFERROR(__xludf.DUMMYFUNCTION("""COMPUTED_VALUE"""),"INTERIOR RESOURCES")</f>
        <v>INTERIOR RESOURCES</v>
      </c>
      <c r="B228" s="3"/>
      <c r="C228" s="2" t="str">
        <f ca="1">IFERROR(__xludf.DUMMYFUNCTION("""COMPUTED_VALUE"""),"*1444 OAK LAWN AVE STE 301")</f>
        <v>*1444 OAK LAWN AVE STE 301</v>
      </c>
      <c r="D228" s="2" t="str">
        <f ca="1">IFERROR(__xludf.DUMMYFUNCTION("""COMPUTED_VALUE"""),"DALLAS")</f>
        <v>DALLAS</v>
      </c>
      <c r="E228" s="2" t="str">
        <f ca="1">IFERROR(__xludf.DUMMYFUNCTION("""COMPUTED_VALUE"""),"TX")</f>
        <v>TX</v>
      </c>
      <c r="F228" s="4" t="str">
        <f ca="1">IFERROR(__xludf.DUMMYFUNCTION("""COMPUTED_VALUE"""),"75207")</f>
        <v>75207</v>
      </c>
      <c r="G228" s="2"/>
      <c r="H228" s="2"/>
      <c r="I228" s="2"/>
    </row>
    <row r="229" spans="1:9" ht="13" x14ac:dyDescent="0.3">
      <c r="A229" s="2" t="str">
        <f ca="1">IFERROR(__xludf.DUMMYFUNCTION("""COMPUTED_VALUE"""),"INTERIOR SYSTEMS CONTRACT GROUP")</f>
        <v>INTERIOR SYSTEMS CONTRACT GROUP</v>
      </c>
      <c r="B229" s="3" t="str">
        <f ca="1">IFERROR(__xludf.DUMMYFUNCTION("""COMPUTED_VALUE"""),"WBENC")</f>
        <v>WBENC</v>
      </c>
      <c r="C229" s="2" t="str">
        <f ca="1">IFERROR(__xludf.DUMMYFUNCTION("""COMPUTED_VALUE"""),"*612 N MAIN")</f>
        <v>*612 N MAIN</v>
      </c>
      <c r="D229" s="2" t="str">
        <f ca="1">IFERROR(__xludf.DUMMYFUNCTION("""COMPUTED_VALUE"""),"ROYAL OAK")</f>
        <v>ROYAL OAK</v>
      </c>
      <c r="E229" s="2" t="str">
        <f ca="1">IFERROR(__xludf.DUMMYFUNCTION("""COMPUTED_VALUE"""),"MI")</f>
        <v>MI</v>
      </c>
      <c r="F229" s="4" t="str">
        <f ca="1">IFERROR(__xludf.DUMMYFUNCTION("""COMPUTED_VALUE"""),"48067")</f>
        <v>48067</v>
      </c>
      <c r="G229" s="2"/>
      <c r="H229" s="2"/>
      <c r="I229" s="2"/>
    </row>
    <row r="230" spans="1:9" ht="13" x14ac:dyDescent="0.3">
      <c r="A230" s="2" t="str">
        <f ca="1">IFERROR(__xludf.DUMMYFUNCTION("""COMPUTED_VALUE"""),"INTERIORS BY GUERNSEY")</f>
        <v>INTERIORS BY GUERNSEY</v>
      </c>
      <c r="B230" s="3"/>
      <c r="C230" s="2" t="str">
        <f ca="1">IFERROR(__xludf.DUMMYFUNCTION("""COMPUTED_VALUE"""),"*45070 OLD OX RD")</f>
        <v>*45070 OLD OX RD</v>
      </c>
      <c r="D230" s="2" t="str">
        <f ca="1">IFERROR(__xludf.DUMMYFUNCTION("""COMPUTED_VALUE"""),"STERLING")</f>
        <v>STERLING</v>
      </c>
      <c r="E230" s="2" t="str">
        <f ca="1">IFERROR(__xludf.DUMMYFUNCTION("""COMPUTED_VALUE"""),"VA")</f>
        <v>VA</v>
      </c>
      <c r="F230" s="4" t="str">
        <f ca="1">IFERROR(__xludf.DUMMYFUNCTION("""COMPUTED_VALUE"""),"20166")</f>
        <v>20166</v>
      </c>
      <c r="G230" s="2"/>
      <c r="H230" s="2"/>
      <c r="I230" s="2"/>
    </row>
    <row r="231" spans="1:9" ht="13" x14ac:dyDescent="0.3">
      <c r="A231" s="2" t="str">
        <f ca="1">IFERROR(__xludf.DUMMYFUNCTION("""COMPUTED_VALUE"""),"INTERIORS FOR BUSINESS INC-CHICAGO")</f>
        <v>INTERIORS FOR BUSINESS INC-CHICAGO</v>
      </c>
      <c r="B231" s="3"/>
      <c r="C231" s="2" t="str">
        <f ca="1">IFERROR(__xludf.DUMMYFUNCTION("""COMPUTED_VALUE"""),"*409 N RIVER ST")</f>
        <v>*409 N RIVER ST</v>
      </c>
      <c r="D231" s="2" t="str">
        <f ca="1">IFERROR(__xludf.DUMMYFUNCTION("""COMPUTED_VALUE"""),"BATAVIA")</f>
        <v>BATAVIA</v>
      </c>
      <c r="E231" s="2" t="str">
        <f ca="1">IFERROR(__xludf.DUMMYFUNCTION("""COMPUTED_VALUE"""),"IL")</f>
        <v>IL</v>
      </c>
      <c r="F231" s="4" t="str">
        <f ca="1">IFERROR(__xludf.DUMMYFUNCTION("""COMPUTED_VALUE"""),"60510")</f>
        <v>60510</v>
      </c>
      <c r="G231" s="2"/>
      <c r="H231" s="2"/>
      <c r="I231" s="2"/>
    </row>
    <row r="232" spans="1:9" ht="13" x14ac:dyDescent="0.3">
      <c r="A232" s="2" t="str">
        <f ca="1">IFERROR(__xludf.DUMMYFUNCTION("""COMPUTED_VALUE"""),"INTERIORS INCORPORATED")</f>
        <v>INTERIORS INCORPORATED</v>
      </c>
      <c r="B232" s="3" t="str">
        <f ca="1">IFERROR(__xludf.DUMMYFUNCTION("""COMPUTED_VALUE"""),"SB")</f>
        <v>SB</v>
      </c>
      <c r="C232" s="2" t="str">
        <f ca="1">IFERROR(__xludf.DUMMYFUNCTION("""COMPUTED_VALUE"""),"*1325 N DUTTON AVE")</f>
        <v>*1325 N DUTTON AVE</v>
      </c>
      <c r="D232" s="2" t="str">
        <f ca="1">IFERROR(__xludf.DUMMYFUNCTION("""COMPUTED_VALUE"""),"SANTA ROSA")</f>
        <v>SANTA ROSA</v>
      </c>
      <c r="E232" s="2" t="str">
        <f ca="1">IFERROR(__xludf.DUMMYFUNCTION("""COMPUTED_VALUE"""),"CA")</f>
        <v>CA</v>
      </c>
      <c r="F232" s="4" t="str">
        <f ca="1">IFERROR(__xludf.DUMMYFUNCTION("""COMPUTED_VALUE"""),"95401")</f>
        <v>95401</v>
      </c>
      <c r="G232" s="2"/>
      <c r="H232" s="2"/>
      <c r="I232" s="2"/>
    </row>
    <row r="233" spans="1:9" ht="13" x14ac:dyDescent="0.3">
      <c r="A233" s="2" t="str">
        <f ca="1">IFERROR(__xludf.DUMMYFUNCTION("""COMPUTED_VALUE"""),"INTEROFFICE")</f>
        <v>INTEROFFICE</v>
      </c>
      <c r="B233" s="3"/>
      <c r="C233" s="2" t="str">
        <f ca="1">IFERROR(__xludf.DUMMYFUNCTION("""COMPUTED_VALUE"""),"*1630 1ST AVE N STE A")</f>
        <v>*1630 1ST AVE N STE A</v>
      </c>
      <c r="D233" s="2" t="str">
        <f ca="1">IFERROR(__xludf.DUMMYFUNCTION("""COMPUTED_VALUE"""),"FARGO")</f>
        <v>FARGO</v>
      </c>
      <c r="E233" s="2" t="str">
        <f ca="1">IFERROR(__xludf.DUMMYFUNCTION("""COMPUTED_VALUE"""),"ND")</f>
        <v>ND</v>
      </c>
      <c r="F233" s="4" t="str">
        <f ca="1">IFERROR(__xludf.DUMMYFUNCTION("""COMPUTED_VALUE"""),"58102")</f>
        <v>58102</v>
      </c>
      <c r="G233" s="2"/>
      <c r="H233" s="2"/>
      <c r="I233" s="2"/>
    </row>
    <row r="234" spans="1:9" ht="13" x14ac:dyDescent="0.3">
      <c r="A234" s="2" t="str">
        <f ca="1">IFERROR(__xludf.DUMMYFUNCTION("""COMPUTED_VALUE"""),"INTERPHASE INC-GR")</f>
        <v>INTERPHASE INC-GR</v>
      </c>
      <c r="B234" s="3"/>
      <c r="C234" s="2" t="str">
        <f ca="1">IFERROR(__xludf.DUMMYFUNCTION("""COMPUTED_VALUE"""),"*3036 EASTERN AVE SE")</f>
        <v>*3036 EASTERN AVE SE</v>
      </c>
      <c r="D234" s="2" t="str">
        <f ca="1">IFERROR(__xludf.DUMMYFUNCTION("""COMPUTED_VALUE"""),"GRAND RAPIDS")</f>
        <v>GRAND RAPIDS</v>
      </c>
      <c r="E234" s="2" t="str">
        <f ca="1">IFERROR(__xludf.DUMMYFUNCTION("""COMPUTED_VALUE"""),"MI")</f>
        <v>MI</v>
      </c>
      <c r="F234" s="4" t="str">
        <f ca="1">IFERROR(__xludf.DUMMYFUNCTION("""COMPUTED_VALUE"""),"49508")</f>
        <v>49508</v>
      </c>
      <c r="G234" s="2"/>
      <c r="H234" s="2"/>
      <c r="I234" s="2"/>
    </row>
    <row r="235" spans="1:9" ht="13" x14ac:dyDescent="0.3">
      <c r="A235" s="2" t="str">
        <f ca="1">IFERROR(__xludf.DUMMYFUNCTION("""COMPUTED_VALUE"""),"INTERSTATE OFFICE PRODUCTS")</f>
        <v>INTERSTATE OFFICE PRODUCTS</v>
      </c>
      <c r="B235" s="3"/>
      <c r="C235" s="2" t="str">
        <f ca="1">IFERROR(__xludf.DUMMYFUNCTION("""COMPUTED_VALUE"""),"*P O  BOX 908")</f>
        <v>*P O  BOX 908</v>
      </c>
      <c r="D235" s="2" t="str">
        <f ca="1">IFERROR(__xludf.DUMMYFUNCTION("""COMPUTED_VALUE"""),"SIOUX FALLS")</f>
        <v>SIOUX FALLS</v>
      </c>
      <c r="E235" s="2" t="str">
        <f ca="1">IFERROR(__xludf.DUMMYFUNCTION("""COMPUTED_VALUE"""),"SD")</f>
        <v>SD</v>
      </c>
      <c r="F235" s="4" t="str">
        <f ca="1">IFERROR(__xludf.DUMMYFUNCTION("""COMPUTED_VALUE"""),"57101-0908")</f>
        <v>57101-0908</v>
      </c>
      <c r="G235" s="2"/>
      <c r="H235" s="2"/>
      <c r="I235" s="2"/>
    </row>
    <row r="236" spans="1:9" ht="13" x14ac:dyDescent="0.3">
      <c r="A236" s="2" t="str">
        <f ca="1">IFERROR(__xludf.DUMMYFUNCTION("""COMPUTED_VALUE"""),"ISPACE")</f>
        <v>ISPACE</v>
      </c>
      <c r="B236" s="3"/>
      <c r="C236" s="2" t="str">
        <f ca="1">IFERROR(__xludf.DUMMYFUNCTION("""COMPUTED_VALUE"""),"*811 GLENWOOD AVE")</f>
        <v>*811 GLENWOOD AVE</v>
      </c>
      <c r="D236" s="2" t="str">
        <f ca="1">IFERROR(__xludf.DUMMYFUNCTION("""COMPUTED_VALUE"""),"MINNEAPOLIS")</f>
        <v>MINNEAPOLIS</v>
      </c>
      <c r="E236" s="2" t="str">
        <f ca="1">IFERROR(__xludf.DUMMYFUNCTION("""COMPUTED_VALUE"""),"MN")</f>
        <v>MN</v>
      </c>
      <c r="F236" s="4" t="str">
        <f ca="1">IFERROR(__xludf.DUMMYFUNCTION("""COMPUTED_VALUE"""),"55405")</f>
        <v>55405</v>
      </c>
      <c r="G236" s="2"/>
      <c r="H236" s="2"/>
      <c r="I236" s="2"/>
    </row>
    <row r="237" spans="1:9" ht="13" x14ac:dyDescent="0.3">
      <c r="A237" s="2" t="str">
        <f ca="1">IFERROR(__xludf.DUMMYFUNCTION("""COMPUTED_VALUE"""),"J C WHITE ARCHITECTURAL INT PRODUCTS")</f>
        <v>J C WHITE ARCHITECTURAL INT PRODUCTS</v>
      </c>
      <c r="B237" s="3"/>
      <c r="C237" s="2" t="str">
        <f ca="1">IFERROR(__xludf.DUMMYFUNCTION("""COMPUTED_VALUE"""),"*3501 COMMERCE PKWY")</f>
        <v>*3501 COMMERCE PKWY</v>
      </c>
      <c r="D237" s="2" t="str">
        <f ca="1">IFERROR(__xludf.DUMMYFUNCTION("""COMPUTED_VALUE"""),"MIRAMAR")</f>
        <v>MIRAMAR</v>
      </c>
      <c r="E237" s="2" t="str">
        <f ca="1">IFERROR(__xludf.DUMMYFUNCTION("""COMPUTED_VALUE"""),"FL")</f>
        <v>FL</v>
      </c>
      <c r="F237" s="4" t="str">
        <f ca="1">IFERROR(__xludf.DUMMYFUNCTION("""COMPUTED_VALUE"""),"33025")</f>
        <v>33025</v>
      </c>
      <c r="G237" s="2"/>
      <c r="H237" s="2"/>
      <c r="I237" s="2"/>
    </row>
    <row r="238" spans="1:9" ht="13" x14ac:dyDescent="0.3">
      <c r="A238" s="2" t="str">
        <f ca="1">IFERROR(__xludf.DUMMYFUNCTION("""COMPUTED_VALUE"""),"J TYLER")</f>
        <v>J TYLER</v>
      </c>
      <c r="B238" s="3" t="str">
        <f ca="1">IFERROR(__xludf.DUMMYFUNCTION("""COMPUTED_VALUE"""),"WO")</f>
        <v>WO</v>
      </c>
      <c r="C238" s="2" t="str">
        <f ca="1">IFERROR(__xludf.DUMMYFUNCTION("""COMPUTED_VALUE"""),"*5920 MILWEE")</f>
        <v>*5920 MILWEE</v>
      </c>
      <c r="D238" s="2" t="str">
        <f ca="1">IFERROR(__xludf.DUMMYFUNCTION("""COMPUTED_VALUE"""),"HOUSTON")</f>
        <v>HOUSTON</v>
      </c>
      <c r="E238" s="2" t="str">
        <f ca="1">IFERROR(__xludf.DUMMYFUNCTION("""COMPUTED_VALUE"""),"TX")</f>
        <v>TX</v>
      </c>
      <c r="F238" s="4" t="str">
        <f ca="1">IFERROR(__xludf.DUMMYFUNCTION("""COMPUTED_VALUE"""),"77092")</f>
        <v>77092</v>
      </c>
      <c r="G238" s="2"/>
      <c r="H238" s="2"/>
      <c r="I238" s="2"/>
    </row>
    <row r="239" spans="1:9" ht="13" x14ac:dyDescent="0.3">
      <c r="A239" s="2" t="str">
        <f ca="1">IFERROR(__xludf.DUMMYFUNCTION("""COMPUTED_VALUE"""),"JMJ CORPORATION")</f>
        <v>JMJ CORPORATION</v>
      </c>
      <c r="B239" s="3"/>
      <c r="C239" s="2" t="str">
        <f ca="1">IFERROR(__xludf.DUMMYFUNCTION("""COMPUTED_VALUE"""),"*7910 W BROAD ST")</f>
        <v>*7910 W BROAD ST</v>
      </c>
      <c r="D239" s="2" t="str">
        <f ca="1">IFERROR(__xludf.DUMMYFUNCTION("""COMPUTED_VALUE"""),"RICHMOND")</f>
        <v>RICHMOND</v>
      </c>
      <c r="E239" s="2" t="str">
        <f ca="1">IFERROR(__xludf.DUMMYFUNCTION("""COMPUTED_VALUE"""),"VA")</f>
        <v>VA</v>
      </c>
      <c r="F239" s="4" t="str">
        <f ca="1">IFERROR(__xludf.DUMMYFUNCTION("""COMPUTED_VALUE"""),"23294")</f>
        <v>23294</v>
      </c>
      <c r="G239" s="2"/>
      <c r="H239" s="2"/>
      <c r="I239" s="2"/>
    </row>
    <row r="240" spans="1:9" ht="13" x14ac:dyDescent="0.3">
      <c r="A240" s="2" t="str">
        <f ca="1">IFERROR(__xludf.DUMMYFUNCTION("""COMPUTED_VALUE"""),"JOHN A MARSHALL-LENEXA")</f>
        <v>JOHN A MARSHALL-LENEXA</v>
      </c>
      <c r="B240" s="3"/>
      <c r="C240" s="2" t="str">
        <f ca="1">IFERROR(__xludf.DUMMYFUNCTION("""COMPUTED_VALUE"""),"*10930 LACKMAN RD")</f>
        <v>*10930 LACKMAN RD</v>
      </c>
      <c r="D240" s="2" t="str">
        <f ca="1">IFERROR(__xludf.DUMMYFUNCTION("""COMPUTED_VALUE"""),"LENEXA")</f>
        <v>LENEXA</v>
      </c>
      <c r="E240" s="2" t="str">
        <f ca="1">IFERROR(__xludf.DUMMYFUNCTION("""COMPUTED_VALUE"""),"KS")</f>
        <v>KS</v>
      </c>
      <c r="F240" s="4" t="str">
        <f ca="1">IFERROR(__xludf.DUMMYFUNCTION("""COMPUTED_VALUE"""),"66219-1232")</f>
        <v>66219-1232</v>
      </c>
      <c r="G240" s="2"/>
      <c r="H240" s="2"/>
      <c r="I240" s="2"/>
    </row>
    <row r="241" spans="1:9" ht="13" x14ac:dyDescent="0.3">
      <c r="A241" s="2" t="str">
        <f ca="1">IFERROR(__xludf.DUMMYFUNCTION("""COMPUTED_VALUE"""),"JOHN A MARSHALL-OKLAHOMA CITY")</f>
        <v>JOHN A MARSHALL-OKLAHOMA CITY</v>
      </c>
      <c r="B241" s="3"/>
      <c r="C241" s="2" t="str">
        <f ca="1">IFERROR(__xludf.DUMMYFUNCTION("""COMPUTED_VALUE"""),"*10930 LACKMAN RD")</f>
        <v>*10930 LACKMAN RD</v>
      </c>
      <c r="D241" s="2" t="str">
        <f ca="1">IFERROR(__xludf.DUMMYFUNCTION("""COMPUTED_VALUE"""),"LENEXA")</f>
        <v>LENEXA</v>
      </c>
      <c r="E241" s="2" t="str">
        <f ca="1">IFERROR(__xludf.DUMMYFUNCTION("""COMPUTED_VALUE"""),"KS")</f>
        <v>KS</v>
      </c>
      <c r="F241" s="4" t="str">
        <f ca="1">IFERROR(__xludf.DUMMYFUNCTION("""COMPUTED_VALUE"""),"66219")</f>
        <v>66219</v>
      </c>
      <c r="G241" s="2"/>
      <c r="H241" s="2"/>
      <c r="I241" s="2"/>
    </row>
    <row r="242" spans="1:9" ht="13" x14ac:dyDescent="0.3">
      <c r="A242" s="2" t="str">
        <f ca="1">IFERROR(__xludf.DUMMYFUNCTION("""COMPUTED_VALUE"""),"JOHN A MARSHALL-TULSA")</f>
        <v>JOHN A MARSHALL-TULSA</v>
      </c>
      <c r="B242" s="3"/>
      <c r="C242" s="2" t="str">
        <f ca="1">IFERROR(__xludf.DUMMYFUNCTION("""COMPUTED_VALUE"""),"*10930 LACKMAN RD")</f>
        <v>*10930 LACKMAN RD</v>
      </c>
      <c r="D242" s="2" t="str">
        <f ca="1">IFERROR(__xludf.DUMMYFUNCTION("""COMPUTED_VALUE"""),"LENEXA")</f>
        <v>LENEXA</v>
      </c>
      <c r="E242" s="2" t="str">
        <f ca="1">IFERROR(__xludf.DUMMYFUNCTION("""COMPUTED_VALUE"""),"KS")</f>
        <v>KS</v>
      </c>
      <c r="F242" s="4" t="str">
        <f ca="1">IFERROR(__xludf.DUMMYFUNCTION("""COMPUTED_VALUE"""),"66219")</f>
        <v>66219</v>
      </c>
      <c r="G242" s="2"/>
      <c r="H242" s="2"/>
      <c r="I242" s="2"/>
    </row>
    <row r="243" spans="1:9" ht="13" x14ac:dyDescent="0.3">
      <c r="A243" s="2" t="str">
        <f ca="1">IFERROR(__xludf.DUMMYFUNCTION("""COMPUTED_VALUE"""),"JOHN WATTS ASSOCIATES")</f>
        <v>JOHN WATTS ASSOCIATES</v>
      </c>
      <c r="B243" s="3"/>
      <c r="C243" s="2" t="str">
        <f ca="1">IFERROR(__xludf.DUMMYFUNCTION("""COMPUTED_VALUE"""),"*45 PRATT ST STE 200")</f>
        <v>*45 PRATT ST STE 200</v>
      </c>
      <c r="D243" s="2" t="str">
        <f ca="1">IFERROR(__xludf.DUMMYFUNCTION("""COMPUTED_VALUE"""),"HARTFORD")</f>
        <v>HARTFORD</v>
      </c>
      <c r="E243" s="2" t="str">
        <f ca="1">IFERROR(__xludf.DUMMYFUNCTION("""COMPUTED_VALUE"""),"CT")</f>
        <v>CT</v>
      </c>
      <c r="F243" s="4" t="str">
        <f ca="1">IFERROR(__xludf.DUMMYFUNCTION("""COMPUTED_VALUE"""),"06103")</f>
        <v>06103</v>
      </c>
      <c r="G243" s="2"/>
      <c r="H243" s="2"/>
      <c r="I243" s="2"/>
    </row>
    <row r="244" spans="1:9" ht="13" x14ac:dyDescent="0.3">
      <c r="A244" s="2" t="str">
        <f ca="1">IFERROR(__xludf.DUMMYFUNCTION("""COMPUTED_VALUE"""),"JULES SELTZER &amp; ASSOCIATES")</f>
        <v>JULES SELTZER &amp; ASSOCIATES</v>
      </c>
      <c r="B244" s="3"/>
      <c r="C244" s="2" t="str">
        <f ca="1">IFERROR(__xludf.DUMMYFUNCTION("""COMPUTED_VALUE"""),"*9020 W OLYMPIC BLVD")</f>
        <v>*9020 W OLYMPIC BLVD</v>
      </c>
      <c r="D244" s="2" t="str">
        <f ca="1">IFERROR(__xludf.DUMMYFUNCTION("""COMPUTED_VALUE"""),"LOS ANGELES")</f>
        <v>LOS ANGELES</v>
      </c>
      <c r="E244" s="2" t="str">
        <f ca="1">IFERROR(__xludf.DUMMYFUNCTION("""COMPUTED_VALUE"""),"CA")</f>
        <v>CA</v>
      </c>
      <c r="F244" s="4" t="str">
        <f ca="1">IFERROR(__xludf.DUMMYFUNCTION("""COMPUTED_VALUE"""),"90211")</f>
        <v>90211</v>
      </c>
      <c r="G244" s="2"/>
      <c r="H244" s="2"/>
      <c r="I244" s="2"/>
    </row>
    <row r="245" spans="1:9" ht="13" x14ac:dyDescent="0.3">
      <c r="A245" s="2" t="str">
        <f ca="1">IFERROR(__xludf.DUMMYFUNCTION("""COMPUTED_VALUE"""),"JUST THE RIGHT STUFF")</f>
        <v>JUST THE RIGHT STUFF</v>
      </c>
      <c r="B245" s="3"/>
      <c r="C245" s="2" t="str">
        <f ca="1">IFERROR(__xludf.DUMMYFUNCTION("""COMPUTED_VALUE"""),"*103 TWIN OAKS DR")</f>
        <v>*103 TWIN OAKS DR</v>
      </c>
      <c r="D245" s="2" t="str">
        <f ca="1">IFERROR(__xludf.DUMMYFUNCTION("""COMPUTED_VALUE"""),"SYRACUSE")</f>
        <v>SYRACUSE</v>
      </c>
      <c r="E245" s="2" t="str">
        <f ca="1">IFERROR(__xludf.DUMMYFUNCTION("""COMPUTED_VALUE"""),"NY")</f>
        <v>NY</v>
      </c>
      <c r="F245" s="4" t="str">
        <f ca="1">IFERROR(__xludf.DUMMYFUNCTION("""COMPUTED_VALUE"""),"13206")</f>
        <v>13206</v>
      </c>
      <c r="G245" s="2"/>
      <c r="H245" s="2"/>
      <c r="I245" s="2"/>
    </row>
    <row r="246" spans="1:9" ht="13" x14ac:dyDescent="0.3">
      <c r="A246" s="2" t="str">
        <f ca="1">IFERROR(__xludf.DUMMYFUNCTION("""COMPUTED_VALUE"""),"KAY DAVIS ASSOCIATES")</f>
        <v>KAY DAVIS ASSOCIATES</v>
      </c>
      <c r="B246" s="3" t="str">
        <f ca="1">IFERROR(__xludf.DUMMYFUNCTION("""COMPUTED_VALUE"""),"TX HUB/BL/F")</f>
        <v>TX HUB/BL/F</v>
      </c>
      <c r="C246" s="2" t="str">
        <f ca="1">IFERROR(__xludf.DUMMYFUNCTION("""COMPUTED_VALUE"""),"*PO BOX 66231")</f>
        <v>*PO BOX 66231</v>
      </c>
      <c r="D246" s="2" t="str">
        <f ca="1">IFERROR(__xludf.DUMMYFUNCTION("""COMPUTED_VALUE"""),"HOUSTON")</f>
        <v>HOUSTON</v>
      </c>
      <c r="E246" s="2" t="str">
        <f ca="1">IFERROR(__xludf.DUMMYFUNCTION("""COMPUTED_VALUE"""),"TX")</f>
        <v>TX</v>
      </c>
      <c r="F246" s="4" t="str">
        <f ca="1">IFERROR(__xludf.DUMMYFUNCTION("""COMPUTED_VALUE"""),"77266")</f>
        <v>77266</v>
      </c>
      <c r="G246" s="2"/>
      <c r="H246" s="2"/>
      <c r="I246" s="2"/>
    </row>
    <row r="247" spans="1:9" ht="13" x14ac:dyDescent="0.3">
      <c r="A247" s="2" t="str">
        <f ca="1">IFERROR(__xludf.DUMMYFUNCTION("""COMPUTED_VALUE"""),"KAYHAN INTERNATIONAL LIMITED")</f>
        <v>KAYHAN INTERNATIONAL LIMITED</v>
      </c>
      <c r="B247" s="3"/>
      <c r="C247" s="2" t="str">
        <f ca="1">IFERROR(__xludf.DUMMYFUNCTION("""COMPUTED_VALUE"""),"*1475 E WOODFIELD RD STE 104")</f>
        <v>*1475 E WOODFIELD RD STE 104</v>
      </c>
      <c r="D247" s="2" t="str">
        <f ca="1">IFERROR(__xludf.DUMMYFUNCTION("""COMPUTED_VALUE"""),"SCHAUMBURG")</f>
        <v>SCHAUMBURG</v>
      </c>
      <c r="E247" s="2" t="str">
        <f ca="1">IFERROR(__xludf.DUMMYFUNCTION("""COMPUTED_VALUE"""),"IL")</f>
        <v>IL</v>
      </c>
      <c r="F247" s="4" t="str">
        <f ca="1">IFERROR(__xludf.DUMMYFUNCTION("""COMPUTED_VALUE"""),"60173")</f>
        <v>60173</v>
      </c>
      <c r="G247" s="2"/>
      <c r="H247" s="2"/>
      <c r="I247" s="2"/>
    </row>
    <row r="248" spans="1:9" ht="13" x14ac:dyDescent="0.3">
      <c r="A248" s="2" t="str">
        <f ca="1">IFERROR(__xludf.DUMMYFUNCTION("""COMPUTED_VALUE"""),"KBM-HOGUE")</f>
        <v>KBM-HOGUE</v>
      </c>
      <c r="B248" s="3"/>
      <c r="C248" s="2" t="str">
        <f ca="1">IFERROR(__xludf.DUMMYFUNCTION("""COMPUTED_VALUE"""),"*225 W SANTA CLARA ST STE 1550")</f>
        <v>*225 W SANTA CLARA ST STE 1550</v>
      </c>
      <c r="D248" s="2" t="str">
        <f ca="1">IFERROR(__xludf.DUMMYFUNCTION("""COMPUTED_VALUE"""),"SAN JOSE")</f>
        <v>SAN JOSE</v>
      </c>
      <c r="E248" s="2" t="str">
        <f ca="1">IFERROR(__xludf.DUMMYFUNCTION("""COMPUTED_VALUE"""),"CA")</f>
        <v>CA</v>
      </c>
      <c r="F248" s="4" t="str">
        <f ca="1">IFERROR(__xludf.DUMMYFUNCTION("""COMPUTED_VALUE"""),"95113")</f>
        <v>95113</v>
      </c>
      <c r="G248" s="2"/>
      <c r="H248" s="2"/>
      <c r="I248" s="2"/>
    </row>
    <row r="249" spans="1:9" ht="65" x14ac:dyDescent="0.3">
      <c r="A249" s="2" t="str">
        <f ca="1">IFERROR(__xludf.DUMMYFUNCTION("""COMPUTED_VALUE"""),"KEENEYS OFFICE SUPPLY INC")</f>
        <v>KEENEYS OFFICE SUPPLY INC</v>
      </c>
      <c r="B249" s="3" t="str">
        <f ca="1">IFERROR(__xludf.DUMMYFUNCTION("""COMPUTED_VALUE"""),"(state certified woman-owned business (WBE) and a zero-waste facility)")</f>
        <v>(state certified woman-owned business (WBE) and a zero-waste facility)</v>
      </c>
      <c r="C249" s="2" t="str">
        <f ca="1">IFERROR(__xludf.DUMMYFUNCTION("""COMPUTED_VALUE"""),"*15020 NE 95TH ST")</f>
        <v>*15020 NE 95TH ST</v>
      </c>
      <c r="D249" s="2" t="str">
        <f ca="1">IFERROR(__xludf.DUMMYFUNCTION("""COMPUTED_VALUE"""),"REDMOND")</f>
        <v>REDMOND</v>
      </c>
      <c r="E249" s="2" t="str">
        <f ca="1">IFERROR(__xludf.DUMMYFUNCTION("""COMPUTED_VALUE"""),"WA")</f>
        <v>WA</v>
      </c>
      <c r="F249" s="4" t="str">
        <f ca="1">IFERROR(__xludf.DUMMYFUNCTION("""COMPUTED_VALUE"""),"98052")</f>
        <v>98052</v>
      </c>
      <c r="G249" s="2"/>
      <c r="H249" s="2"/>
      <c r="I249" s="2"/>
    </row>
    <row r="250" spans="1:9" ht="13" x14ac:dyDescent="0.3">
      <c r="A250" s="2" t="str">
        <f ca="1">IFERROR(__xludf.DUMMYFUNCTION("""COMPUTED_VALUE"""),"KING BUSINESS INTERIORS INC")</f>
        <v>KING BUSINESS INTERIORS INC</v>
      </c>
      <c r="B250" s="3"/>
      <c r="C250" s="2" t="str">
        <f ca="1">IFERROR(__xludf.DUMMYFUNCTION("""COMPUTED_VALUE"""),"*1400 GOODALE BLVD STE 102")</f>
        <v>*1400 GOODALE BLVD STE 102</v>
      </c>
      <c r="D250" s="2" t="str">
        <f ca="1">IFERROR(__xludf.DUMMYFUNCTION("""COMPUTED_VALUE"""),"COLUMBUS")</f>
        <v>COLUMBUS</v>
      </c>
      <c r="E250" s="2" t="str">
        <f ca="1">IFERROR(__xludf.DUMMYFUNCTION("""COMPUTED_VALUE"""),"OH")</f>
        <v>OH</v>
      </c>
      <c r="F250" s="4" t="str">
        <f ca="1">IFERROR(__xludf.DUMMYFUNCTION("""COMPUTED_VALUE"""),"43212")</f>
        <v>43212</v>
      </c>
      <c r="G250" s="2"/>
      <c r="H250" s="2"/>
      <c r="I250" s="2"/>
    </row>
    <row r="251" spans="1:9" ht="13" x14ac:dyDescent="0.3">
      <c r="A251" s="2" t="str">
        <f ca="1">IFERROR(__xludf.DUMMYFUNCTION("""COMPUTED_VALUE"""),"KYLE OFFICE SUPPLY CO INC")</f>
        <v>KYLE OFFICE SUPPLY CO INC</v>
      </c>
      <c r="B251" s="3"/>
      <c r="C251" s="2" t="str">
        <f ca="1">IFERROR(__xludf.DUMMYFUNCTION("""COMPUTED_VALUE"""),"*P O BOX 1909")</f>
        <v>*P O BOX 1909</v>
      </c>
      <c r="D251" s="2" t="str">
        <f ca="1">IFERROR(__xludf.DUMMYFUNCTION("""COMPUTED_VALUE"""),"TUSCALOOSA")</f>
        <v>TUSCALOOSA</v>
      </c>
      <c r="E251" s="2" t="str">
        <f ca="1">IFERROR(__xludf.DUMMYFUNCTION("""COMPUTED_VALUE"""),"AL")</f>
        <v>AL</v>
      </c>
      <c r="F251" s="4" t="str">
        <f ca="1">IFERROR(__xludf.DUMMYFUNCTION("""COMPUTED_VALUE"""),"35403")</f>
        <v>35403</v>
      </c>
      <c r="G251" s="2"/>
      <c r="H251" s="2"/>
      <c r="I251" s="2"/>
    </row>
    <row r="252" spans="1:9" ht="13" x14ac:dyDescent="0.3">
      <c r="A252" s="2" t="str">
        <f ca="1">IFERROR(__xludf.DUMMYFUNCTION("""COMPUTED_VALUE"""),"KYSER OFFICE WORKS INC")</f>
        <v>KYSER OFFICE WORKS INC</v>
      </c>
      <c r="B252" s="3"/>
      <c r="C252" s="2" t="str">
        <f ca="1">IFERROR(__xludf.DUMMYFUNCTION("""COMPUTED_VALUE"""),"*2400 SPRUCE ST")</f>
        <v>*2400 SPRUCE ST</v>
      </c>
      <c r="D252" s="2" t="str">
        <f ca="1">IFERROR(__xludf.DUMMYFUNCTION("""COMPUTED_VALUE"""),"MONTGOMERY")</f>
        <v>MONTGOMERY</v>
      </c>
      <c r="E252" s="2" t="str">
        <f ca="1">IFERROR(__xludf.DUMMYFUNCTION("""COMPUTED_VALUE"""),"AL")</f>
        <v>AL</v>
      </c>
      <c r="F252" s="4" t="str">
        <f ca="1">IFERROR(__xludf.DUMMYFUNCTION("""COMPUTED_VALUE"""),"36107")</f>
        <v>36107</v>
      </c>
      <c r="G252" s="2"/>
      <c r="H252" s="2"/>
      <c r="I252" s="2"/>
    </row>
    <row r="253" spans="1:9" ht="13" x14ac:dyDescent="0.3">
      <c r="A253" s="2" t="str">
        <f ca="1">IFERROR(__xludf.DUMMYFUNCTION("""COMPUTED_VALUE"""),"L&amp;M FURNITURE - TULSA")</f>
        <v>L&amp;M FURNITURE - TULSA</v>
      </c>
      <c r="B253" s="3"/>
      <c r="C253" s="2" t="str">
        <f ca="1">IFERROR(__xludf.DUMMYFUNCTION("""COMPUTED_VALUE"""),"*4444 S 91ST E AVE")</f>
        <v>*4444 S 91ST E AVE</v>
      </c>
      <c r="D253" s="2" t="str">
        <f ca="1">IFERROR(__xludf.DUMMYFUNCTION("""COMPUTED_VALUE"""),"TULSA")</f>
        <v>TULSA</v>
      </c>
      <c r="E253" s="2" t="str">
        <f ca="1">IFERROR(__xludf.DUMMYFUNCTION("""COMPUTED_VALUE"""),"OK")</f>
        <v>OK</v>
      </c>
      <c r="F253" s="4" t="str">
        <f ca="1">IFERROR(__xludf.DUMMYFUNCTION("""COMPUTED_VALUE"""),"74145")</f>
        <v>74145</v>
      </c>
      <c r="G253" s="2"/>
      <c r="H253" s="2"/>
      <c r="I253" s="2"/>
    </row>
    <row r="254" spans="1:9" ht="13" x14ac:dyDescent="0.3">
      <c r="A254" s="2" t="str">
        <f ca="1">IFERROR(__xludf.DUMMYFUNCTION("""COMPUTED_VALUE"""),"L&amp;M FURNITURE - LITTLE ROCK")</f>
        <v>L&amp;M FURNITURE - LITTLE ROCK</v>
      </c>
      <c r="B254" s="3"/>
      <c r="C254" s="2" t="str">
        <f ca="1">IFERROR(__xludf.DUMMYFUNCTION("""COMPUTED_VALUE"""),"*4444 S 91ST E AVE")</f>
        <v>*4444 S 91ST E AVE</v>
      </c>
      <c r="D254" s="2" t="str">
        <f ca="1">IFERROR(__xludf.DUMMYFUNCTION("""COMPUTED_VALUE"""),"TULSA")</f>
        <v>TULSA</v>
      </c>
      <c r="E254" s="2" t="str">
        <f ca="1">IFERROR(__xludf.DUMMYFUNCTION("""COMPUTED_VALUE"""),"OK")</f>
        <v>OK</v>
      </c>
      <c r="F254" s="4">
        <f ca="1">IFERROR(__xludf.DUMMYFUNCTION("""COMPUTED_VALUE"""),74145)</f>
        <v>74145</v>
      </c>
      <c r="G254" s="2"/>
      <c r="H254" s="2"/>
      <c r="I254" s="2"/>
    </row>
    <row r="255" spans="1:9" ht="13" x14ac:dyDescent="0.3">
      <c r="A255" s="2" t="str">
        <f ca="1">IFERROR(__xludf.DUMMYFUNCTION("""COMPUTED_VALUE"""),"LA HARPES OFFICE FURNITURE INC")</f>
        <v>LA HARPES OFFICE FURNITURE INC</v>
      </c>
      <c r="B255" s="3"/>
      <c r="C255" s="2" t="str">
        <f ca="1">IFERROR(__xludf.DUMMYFUNCTION("""COMPUTED_VALUE"""),"*P O BOX 3817")</f>
        <v>*P O BOX 3817</v>
      </c>
      <c r="D255" s="2" t="str">
        <f ca="1">IFERROR(__xludf.DUMMYFUNCTION("""COMPUTED_VALUE"""),"LITTLE ROCK")</f>
        <v>LITTLE ROCK</v>
      </c>
      <c r="E255" s="2" t="str">
        <f ca="1">IFERROR(__xludf.DUMMYFUNCTION("""COMPUTED_VALUE"""),"AR")</f>
        <v>AR</v>
      </c>
      <c r="F255" s="4" t="str">
        <f ca="1">IFERROR(__xludf.DUMMYFUNCTION("""COMPUTED_VALUE"""),"72203")</f>
        <v>72203</v>
      </c>
      <c r="G255" s="2"/>
      <c r="H255" s="2"/>
      <c r="I255" s="2"/>
    </row>
    <row r="256" spans="1:9" ht="13" x14ac:dyDescent="0.3">
      <c r="A256" s="2" t="str">
        <f ca="1">IFERROR(__xludf.DUMMYFUNCTION("""COMPUTED_VALUE"""),"LANE OFFICE FURNITURE INC")</f>
        <v>LANE OFFICE FURNITURE INC</v>
      </c>
      <c r="B256" s="3"/>
      <c r="C256" s="2" t="str">
        <f ca="1">IFERROR(__xludf.DUMMYFUNCTION("""COMPUTED_VALUE"""),"*256 W 38TH ST")</f>
        <v>*256 W 38TH ST</v>
      </c>
      <c r="D256" s="2" t="str">
        <f ca="1">IFERROR(__xludf.DUMMYFUNCTION("""COMPUTED_VALUE"""),"NEW YORK")</f>
        <v>NEW YORK</v>
      </c>
      <c r="E256" s="2" t="str">
        <f ca="1">IFERROR(__xludf.DUMMYFUNCTION("""COMPUTED_VALUE"""),"NY")</f>
        <v>NY</v>
      </c>
      <c r="F256" s="4" t="str">
        <f ca="1">IFERROR(__xludf.DUMMYFUNCTION("""COMPUTED_VALUE"""),"10018")</f>
        <v>10018</v>
      </c>
      <c r="G256" s="2"/>
      <c r="H256" s="2"/>
      <c r="I256" s="2"/>
    </row>
    <row r="257" spans="1:9" ht="13" x14ac:dyDescent="0.3">
      <c r="A257" s="2" t="str">
        <f ca="1">IFERROR(__xludf.DUMMYFUNCTION("""COMPUTED_VALUE"""),"LEDWELL OFFICE SOLUTIONS")</f>
        <v>LEDWELL OFFICE SOLUTIONS</v>
      </c>
      <c r="B257" s="3"/>
      <c r="C257" s="2" t="str">
        <f ca="1">IFERROR(__xludf.DUMMYFUNCTION("""COMPUTED_VALUE"""),"*PO BOX 1106")</f>
        <v>*PO BOX 1106</v>
      </c>
      <c r="D257" s="2" t="str">
        <f ca="1">IFERROR(__xludf.DUMMYFUNCTION("""COMPUTED_VALUE"""),"TEXARKANA")</f>
        <v>TEXARKANA</v>
      </c>
      <c r="E257" s="2" t="str">
        <f ca="1">IFERROR(__xludf.DUMMYFUNCTION("""COMPUTED_VALUE"""),"TX")</f>
        <v>TX</v>
      </c>
      <c r="F257" s="4" t="str">
        <f ca="1">IFERROR(__xludf.DUMMYFUNCTION("""COMPUTED_VALUE"""),"75504")</f>
        <v>75504</v>
      </c>
      <c r="G257" s="2"/>
      <c r="H257" s="2"/>
      <c r="I257" s="2"/>
    </row>
    <row r="258" spans="1:9" ht="13" x14ac:dyDescent="0.3">
      <c r="A258" s="2" t="str">
        <f ca="1">IFERROR(__xludf.DUMMYFUNCTION("""COMPUTED_VALUE"""),"LEXINGTON GROUP")</f>
        <v>LEXINGTON GROUP</v>
      </c>
      <c r="B258" s="3"/>
      <c r="C258" s="2" t="str">
        <f ca="1">IFERROR(__xludf.DUMMYFUNCTION("""COMPUTED_VALUE"""),"*380 UNION ST")</f>
        <v>*380 UNION ST</v>
      </c>
      <c r="D258" s="2" t="str">
        <f ca="1">IFERROR(__xludf.DUMMYFUNCTION("""COMPUTED_VALUE"""),"WEST SPRINGFIELD")</f>
        <v>WEST SPRINGFIELD</v>
      </c>
      <c r="E258" s="2" t="str">
        <f ca="1">IFERROR(__xludf.DUMMYFUNCTION("""COMPUTED_VALUE"""),"MA")</f>
        <v>MA</v>
      </c>
      <c r="F258" s="4" t="str">
        <f ca="1">IFERROR(__xludf.DUMMYFUNCTION("""COMPUTED_VALUE"""),"01089")</f>
        <v>01089</v>
      </c>
      <c r="G258" s="2"/>
      <c r="H258" s="2"/>
      <c r="I258" s="2"/>
    </row>
    <row r="259" spans="1:9" ht="13" x14ac:dyDescent="0.3">
      <c r="A259" s="2" t="str">
        <f ca="1">IFERROR(__xludf.DUMMYFUNCTION("""COMPUTED_VALUE"""),"LIBRARY INTERIORS OF FL")</f>
        <v>LIBRARY INTERIORS OF FL</v>
      </c>
      <c r="B259" s="3"/>
      <c r="C259" s="2" t="str">
        <f ca="1">IFERROR(__xludf.DUMMYFUNCTION("""COMPUTED_VALUE"""),"*10006 CROSS CREEK BLVD # 432")</f>
        <v>*10006 CROSS CREEK BLVD # 432</v>
      </c>
      <c r="D259" s="2" t="str">
        <f ca="1">IFERROR(__xludf.DUMMYFUNCTION("""COMPUTED_VALUE"""),"TAMPA")</f>
        <v>TAMPA</v>
      </c>
      <c r="E259" s="2" t="str">
        <f ca="1">IFERROR(__xludf.DUMMYFUNCTION("""COMPUTED_VALUE"""),"FL")</f>
        <v>FL</v>
      </c>
      <c r="F259" s="4" t="str">
        <f ca="1">IFERROR(__xludf.DUMMYFUNCTION("""COMPUTED_VALUE"""),"33647")</f>
        <v>33647</v>
      </c>
      <c r="G259" s="2"/>
      <c r="H259" s="2"/>
      <c r="I259" s="2"/>
    </row>
    <row r="260" spans="1:9" ht="13" x14ac:dyDescent="0.3">
      <c r="A260" s="2" t="str">
        <f ca="1">IFERROR(__xludf.DUMMYFUNCTION("""COMPUTED_VALUE"""),"LINCOLN OFFICE LLC")</f>
        <v>LINCOLN OFFICE LLC</v>
      </c>
      <c r="B260" s="3"/>
      <c r="C260" s="2" t="str">
        <f ca="1">IFERROR(__xludf.DUMMYFUNCTION("""COMPUTED_VALUE"""),"*205 EASTGATE DR")</f>
        <v>*205 EASTGATE DR</v>
      </c>
      <c r="D260" s="2" t="str">
        <f ca="1">IFERROR(__xludf.DUMMYFUNCTION("""COMPUTED_VALUE"""),"WASHINGTON")</f>
        <v>WASHINGTON</v>
      </c>
      <c r="E260" s="2" t="str">
        <f ca="1">IFERROR(__xludf.DUMMYFUNCTION("""COMPUTED_VALUE"""),"IL")</f>
        <v>IL</v>
      </c>
      <c r="F260" s="4" t="str">
        <f ca="1">IFERROR(__xludf.DUMMYFUNCTION("""COMPUTED_VALUE"""),"61571")</f>
        <v>61571</v>
      </c>
      <c r="G260" s="2"/>
      <c r="H260" s="2"/>
      <c r="I260" s="2"/>
    </row>
    <row r="261" spans="1:9" ht="13" x14ac:dyDescent="0.3">
      <c r="A261" s="2" t="str">
        <f ca="1">IFERROR(__xludf.DUMMYFUNCTION("""COMPUTED_VALUE"""),"LJ DUFFY INC")</f>
        <v>LJ DUFFY INC</v>
      </c>
      <c r="B261" s="3"/>
      <c r="C261" s="2" t="str">
        <f ca="1">IFERROR(__xludf.DUMMYFUNCTION("""COMPUTED_VALUE"""),"*150 W 30TH ST 4TH FL")</f>
        <v>*150 W 30TH ST 4TH FL</v>
      </c>
      <c r="D261" s="2" t="str">
        <f ca="1">IFERROR(__xludf.DUMMYFUNCTION("""COMPUTED_VALUE"""),"NEW YORK")</f>
        <v>NEW YORK</v>
      </c>
      <c r="E261" s="2" t="str">
        <f ca="1">IFERROR(__xludf.DUMMYFUNCTION("""COMPUTED_VALUE"""),"NY")</f>
        <v>NY</v>
      </c>
      <c r="F261" s="4" t="str">
        <f ca="1">IFERROR(__xludf.DUMMYFUNCTION("""COMPUTED_VALUE"""),"10001")</f>
        <v>10001</v>
      </c>
      <c r="G261" s="2"/>
      <c r="H261" s="2"/>
      <c r="I261" s="2"/>
    </row>
    <row r="262" spans="1:9" ht="13" x14ac:dyDescent="0.3">
      <c r="A262" s="2" t="str">
        <f ca="1">IFERROR(__xludf.DUMMYFUNCTION("""COMPUTED_VALUE"""),"LOTH INC-COLUMBUS")</f>
        <v>LOTH INC-COLUMBUS</v>
      </c>
      <c r="B262" s="3"/>
      <c r="C262" s="2" t="str">
        <f ca="1">IFERROR(__xludf.DUMMYFUNCTION("""COMPUTED_VALUE"""),"*3574 E KEMPER RD")</f>
        <v>*3574 E KEMPER RD</v>
      </c>
      <c r="D262" s="2" t="str">
        <f ca="1">IFERROR(__xludf.DUMMYFUNCTION("""COMPUTED_VALUE"""),"CINCINNATI")</f>
        <v>CINCINNATI</v>
      </c>
      <c r="E262" s="2" t="str">
        <f ca="1">IFERROR(__xludf.DUMMYFUNCTION("""COMPUTED_VALUE"""),"OH")</f>
        <v>OH</v>
      </c>
      <c r="F262" s="4" t="str">
        <f ca="1">IFERROR(__xludf.DUMMYFUNCTION("""COMPUTED_VALUE"""),"45241")</f>
        <v>45241</v>
      </c>
      <c r="G262" s="2"/>
      <c r="H262" s="2"/>
      <c r="I262" s="2"/>
    </row>
    <row r="263" spans="1:9" ht="13" x14ac:dyDescent="0.3">
      <c r="A263" s="2" t="str">
        <f ca="1">IFERROR(__xludf.DUMMYFUNCTION("""COMPUTED_VALUE"""),"LOUER FACILITY PLANNING INC")</f>
        <v>LOUER FACILITY PLANNING INC</v>
      </c>
      <c r="B263" s="3" t="str">
        <f ca="1">IFERROR(__xludf.DUMMYFUNCTION("""COMPUTED_VALUE"""),"WO, SB")</f>
        <v>WO, SB</v>
      </c>
      <c r="C263" s="2" t="str">
        <f ca="1">IFERROR(__xludf.DUMMYFUNCTION("""COMPUTED_VALUE"""),"*1604 EASTPORT PLZ DR STE 100")</f>
        <v>*1604 EASTPORT PLZ DR STE 100</v>
      </c>
      <c r="D263" s="2" t="str">
        <f ca="1">IFERROR(__xludf.DUMMYFUNCTION("""COMPUTED_VALUE"""),"COLLINSVILLE")</f>
        <v>COLLINSVILLE</v>
      </c>
      <c r="E263" s="2" t="str">
        <f ca="1">IFERROR(__xludf.DUMMYFUNCTION("""COMPUTED_VALUE"""),"IL")</f>
        <v>IL</v>
      </c>
      <c r="F263" s="4" t="str">
        <f ca="1">IFERROR(__xludf.DUMMYFUNCTION("""COMPUTED_VALUE"""),"62234")</f>
        <v>62234</v>
      </c>
      <c r="G263" s="2"/>
      <c r="H263" s="2"/>
      <c r="I263" s="2"/>
    </row>
    <row r="264" spans="1:9" ht="13" x14ac:dyDescent="0.3">
      <c r="A264" s="2" t="str">
        <f ca="1">IFERROR(__xludf.DUMMYFUNCTION("""COMPUTED_VALUE"""),"LOWERY MCDONNELL")</f>
        <v>LOWERY MCDONNELL</v>
      </c>
      <c r="B264" s="3"/>
      <c r="C264" s="2" t="str">
        <f ca="1">IFERROR(__xludf.DUMMYFUNCTION("""COMPUTED_VALUE"""),"*960 LIVELY BLVD")</f>
        <v>*960 LIVELY BLVD</v>
      </c>
      <c r="D264" s="2" t="str">
        <f ca="1">IFERROR(__xludf.DUMMYFUNCTION("""COMPUTED_VALUE"""),"WOOD DALE")</f>
        <v>WOOD DALE</v>
      </c>
      <c r="E264" s="2" t="str">
        <f ca="1">IFERROR(__xludf.DUMMYFUNCTION("""COMPUTED_VALUE"""),"IL")</f>
        <v>IL</v>
      </c>
      <c r="F264" s="4" t="str">
        <f ca="1">IFERROR(__xludf.DUMMYFUNCTION("""COMPUTED_VALUE"""),"60191")</f>
        <v>60191</v>
      </c>
      <c r="G264" s="2"/>
      <c r="H264" s="2"/>
      <c r="I264" s="2"/>
    </row>
    <row r="265" spans="1:9" ht="13" x14ac:dyDescent="0.3">
      <c r="A265" s="2" t="str">
        <f ca="1">IFERROR(__xludf.DUMMYFUNCTION("""COMPUTED_VALUE"""),"LUCK COMPANY")</f>
        <v>LUCK COMPANY</v>
      </c>
      <c r="B265" s="3"/>
      <c r="C265" s="2" t="str">
        <f ca="1">IFERROR(__xludf.DUMMYFUNCTION("""COMPUTED_VALUE"""),"*PO BOX 7768")</f>
        <v>*PO BOX 7768</v>
      </c>
      <c r="D265" s="2" t="str">
        <f ca="1">IFERROR(__xludf.DUMMYFUNCTION("""COMPUTED_VALUE"""),"HOUSTON")</f>
        <v>HOUSTON</v>
      </c>
      <c r="E265" s="2" t="str">
        <f ca="1">IFERROR(__xludf.DUMMYFUNCTION("""COMPUTED_VALUE"""),"TX")</f>
        <v>TX</v>
      </c>
      <c r="F265" s="4" t="str">
        <f ca="1">IFERROR(__xludf.DUMMYFUNCTION("""COMPUTED_VALUE"""),"77270")</f>
        <v>77270</v>
      </c>
      <c r="G265" s="2"/>
      <c r="H265" s="2"/>
      <c r="I265" s="2"/>
    </row>
    <row r="266" spans="1:9" ht="13" x14ac:dyDescent="0.3">
      <c r="A266" s="2" t="str">
        <f ca="1">IFERROR(__xludf.DUMMYFUNCTION("""COMPUTED_VALUE"""),"M&amp;M OFFICE INTERIORS")</f>
        <v>M&amp;M OFFICE INTERIORS</v>
      </c>
      <c r="B266" s="3"/>
      <c r="C266" s="2" t="str">
        <f ca="1">IFERROR(__xludf.DUMMYFUNCTION("""COMPUTED_VALUE"""),"*W233 N2833 ROUNDY CIR W  STE 100")</f>
        <v>*W233 N2833 ROUNDY CIR W  STE 100</v>
      </c>
      <c r="D266" s="2" t="str">
        <f ca="1">IFERROR(__xludf.DUMMYFUNCTION("""COMPUTED_VALUE"""),"PEWAUKEE")</f>
        <v>PEWAUKEE</v>
      </c>
      <c r="E266" s="2" t="str">
        <f ca="1">IFERROR(__xludf.DUMMYFUNCTION("""COMPUTED_VALUE"""),"WI")</f>
        <v>WI</v>
      </c>
      <c r="F266" s="4" t="str">
        <f ca="1">IFERROR(__xludf.DUMMYFUNCTION("""COMPUTED_VALUE"""),"53072")</f>
        <v>53072</v>
      </c>
      <c r="G266" s="2"/>
      <c r="H266" s="2"/>
      <c r="I266" s="2"/>
    </row>
    <row r="267" spans="1:9" ht="13" x14ac:dyDescent="0.3">
      <c r="A267" s="2" t="str">
        <f ca="1">IFERROR(__xludf.DUMMYFUNCTION("""COMPUTED_VALUE"""),"M3 LLC")</f>
        <v>M3 LLC</v>
      </c>
      <c r="B267" s="3"/>
      <c r="C267" s="2" t="str">
        <f ca="1">IFERROR(__xludf.DUMMYFUNCTION("""COMPUTED_VALUE"""),"*161 PASADENA AVE STE A")</f>
        <v>*161 PASADENA AVE STE A</v>
      </c>
      <c r="D267" s="2" t="str">
        <f ca="1">IFERROR(__xludf.DUMMYFUNCTION("""COMPUTED_VALUE"""),"SOUTH PASADENA")</f>
        <v>SOUTH PASADENA</v>
      </c>
      <c r="E267" s="2" t="str">
        <f ca="1">IFERROR(__xludf.DUMMYFUNCTION("""COMPUTED_VALUE"""),"CA")</f>
        <v>CA</v>
      </c>
      <c r="F267" s="4" t="str">
        <f ca="1">IFERROR(__xludf.DUMMYFUNCTION("""COMPUTED_VALUE"""),"91030")</f>
        <v>91030</v>
      </c>
      <c r="G267" s="2"/>
      <c r="H267" s="2"/>
      <c r="I267" s="2"/>
    </row>
    <row r="268" spans="1:9" ht="13" x14ac:dyDescent="0.3">
      <c r="A268" s="2" t="str">
        <f ca="1">IFERROR(__xludf.DUMMYFUNCTION("""COMPUTED_VALUE"""),"MALONE OFFICE ENVIRONMENTS")</f>
        <v>MALONE OFFICE ENVIRONMENTS</v>
      </c>
      <c r="B268" s="3"/>
      <c r="C268" s="2" t="str">
        <f ca="1">IFERROR(__xludf.DUMMYFUNCTION("""COMPUTED_VALUE"""),"*PO BOX 509")</f>
        <v>*PO BOX 509</v>
      </c>
      <c r="D268" s="2" t="str">
        <f ca="1">IFERROR(__xludf.DUMMYFUNCTION("""COMPUTED_VALUE"""),"COLUMBUS")</f>
        <v>COLUMBUS</v>
      </c>
      <c r="E268" s="2" t="str">
        <f ca="1">IFERROR(__xludf.DUMMYFUNCTION("""COMPUTED_VALUE"""),"GA")</f>
        <v>GA</v>
      </c>
      <c r="F268" s="4" t="str">
        <f ca="1">IFERROR(__xludf.DUMMYFUNCTION("""COMPUTED_VALUE"""),"31902")</f>
        <v>31902</v>
      </c>
      <c r="G268" s="2"/>
      <c r="H268" s="2"/>
      <c r="I268" s="2"/>
    </row>
    <row r="269" spans="1:9" ht="13" x14ac:dyDescent="0.3">
      <c r="A269" s="2" t="str">
        <f ca="1">IFERROR(__xludf.DUMMYFUNCTION("""COMPUTED_VALUE"""),"MB CONTRACT FURNITURE INC")</f>
        <v>MB CONTRACT FURNITURE INC</v>
      </c>
      <c r="B269" s="3"/>
      <c r="C269" s="2" t="str">
        <f ca="1">IFERROR(__xludf.DUMMYFUNCTION("""COMPUTED_VALUE"""),"*1001 GALAXY WAY STE 100")</f>
        <v>*1001 GALAXY WAY STE 100</v>
      </c>
      <c r="D269" s="2" t="str">
        <f ca="1">IFERROR(__xludf.DUMMYFUNCTION("""COMPUTED_VALUE"""),"CONCORD")</f>
        <v>CONCORD</v>
      </c>
      <c r="E269" s="2" t="str">
        <f ca="1">IFERROR(__xludf.DUMMYFUNCTION("""COMPUTED_VALUE"""),"CA")</f>
        <v>CA</v>
      </c>
      <c r="F269" s="4" t="str">
        <f ca="1">IFERROR(__xludf.DUMMYFUNCTION("""COMPUTED_VALUE"""),"94520")</f>
        <v>94520</v>
      </c>
      <c r="G269" s="2"/>
      <c r="H269" s="2"/>
      <c r="I269" s="2"/>
    </row>
    <row r="270" spans="1:9" ht="13" x14ac:dyDescent="0.3">
      <c r="A270" s="2" t="str">
        <f ca="1">IFERROR(__xludf.DUMMYFUNCTION("""COMPUTED_VALUE"""),"MBI-SEATTLE")</f>
        <v>MBI-SEATTLE</v>
      </c>
      <c r="B270" s="3"/>
      <c r="C270" s="2" t="str">
        <f ca="1">IFERROR(__xludf.DUMMYFUNCTION("""COMPUTED_VALUE"""),"*P O BOX 84986")</f>
        <v>*P O BOX 84986</v>
      </c>
      <c r="D270" s="2" t="str">
        <f ca="1">IFERROR(__xludf.DUMMYFUNCTION("""COMPUTED_VALUE"""),"SEATTLE")</f>
        <v>SEATTLE</v>
      </c>
      <c r="E270" s="2" t="str">
        <f ca="1">IFERROR(__xludf.DUMMYFUNCTION("""COMPUTED_VALUE"""),"WA")</f>
        <v>WA</v>
      </c>
      <c r="F270" s="4" t="str">
        <f ca="1">IFERROR(__xludf.DUMMYFUNCTION("""COMPUTED_VALUE"""),"98124-6286")</f>
        <v>98124-6286</v>
      </c>
      <c r="G270" s="2"/>
      <c r="H270" s="2"/>
      <c r="I270" s="2"/>
    </row>
    <row r="271" spans="1:9" ht="13" x14ac:dyDescent="0.3">
      <c r="A271" s="2" t="str">
        <f ca="1">IFERROR(__xludf.DUMMYFUNCTION("""COMPUTED_VALUE"""),"MCCOY INC.  aka McCoy Rockford")</f>
        <v>MCCOY INC.  aka McCoy Rockford</v>
      </c>
      <c r="B271" s="3"/>
      <c r="C271" s="2" t="str">
        <f ca="1">IFERROR(__xludf.DUMMYFUNCTION("""COMPUTED_VALUE"""),"*6869 OLD KATY RD")</f>
        <v>*6869 OLD KATY RD</v>
      </c>
      <c r="D271" s="2" t="str">
        <f ca="1">IFERROR(__xludf.DUMMYFUNCTION("""COMPUTED_VALUE"""),"HOUSTON")</f>
        <v>HOUSTON</v>
      </c>
      <c r="E271" s="2" t="str">
        <f ca="1">IFERROR(__xludf.DUMMYFUNCTION("""COMPUTED_VALUE"""),"TX")</f>
        <v>TX</v>
      </c>
      <c r="F271" s="4" t="str">
        <f ca="1">IFERROR(__xludf.DUMMYFUNCTION("""COMPUTED_VALUE"""),"77024")</f>
        <v>77024</v>
      </c>
      <c r="G271" s="2"/>
      <c r="H271" s="2"/>
      <c r="I271" s="2"/>
    </row>
    <row r="272" spans="1:9" ht="13" x14ac:dyDescent="0.3">
      <c r="A272" s="2" t="str">
        <f ca="1">IFERROR(__xludf.DUMMYFUNCTION("""COMPUTED_VALUE"""),"MEADOWS OFFICE INTERIORS-NY")</f>
        <v>MEADOWS OFFICE INTERIORS-NY</v>
      </c>
      <c r="B272" s="3"/>
      <c r="C272" s="2" t="str">
        <f ca="1">IFERROR(__xludf.DUMMYFUNCTION("""COMPUTED_VALUE"""),"*885 3RD AVE  29TH FL")</f>
        <v>*885 3RD AVE  29TH FL</v>
      </c>
      <c r="D272" s="2" t="str">
        <f ca="1">IFERROR(__xludf.DUMMYFUNCTION("""COMPUTED_VALUE"""),"NEW YORK")</f>
        <v>NEW YORK</v>
      </c>
      <c r="E272" s="2" t="str">
        <f ca="1">IFERROR(__xludf.DUMMYFUNCTION("""COMPUTED_VALUE"""),"NY")</f>
        <v>NY</v>
      </c>
      <c r="F272" s="4" t="str">
        <f ca="1">IFERROR(__xludf.DUMMYFUNCTION("""COMPUTED_VALUE"""),"10022")</f>
        <v>10022</v>
      </c>
      <c r="G272" s="2"/>
      <c r="H272" s="2"/>
      <c r="I272" s="2"/>
    </row>
    <row r="273" spans="1:9" ht="13" x14ac:dyDescent="0.3">
      <c r="A273" s="2" t="str">
        <f ca="1">IFERROR(__xludf.DUMMYFUNCTION("""COMPUTED_VALUE"""),"MEDICAL RESOURCES")</f>
        <v>MEDICAL RESOURCES</v>
      </c>
      <c r="B273" s="3"/>
      <c r="C273" s="2" t="str">
        <f ca="1">IFERROR(__xludf.DUMMYFUNCTION("""COMPUTED_VALUE"""),"*8377 C GREEN MEADOWS DR N")</f>
        <v>*8377 C GREEN MEADOWS DR N</v>
      </c>
      <c r="D273" s="2" t="str">
        <f ca="1">IFERROR(__xludf.DUMMYFUNCTION("""COMPUTED_VALUE"""),"LEWIS CENTER")</f>
        <v>LEWIS CENTER</v>
      </c>
      <c r="E273" s="2" t="str">
        <f ca="1">IFERROR(__xludf.DUMMYFUNCTION("""COMPUTED_VALUE"""),"OH")</f>
        <v>OH</v>
      </c>
      <c r="F273" s="4" t="str">
        <f ca="1">IFERROR(__xludf.DUMMYFUNCTION("""COMPUTED_VALUE"""),"43035")</f>
        <v>43035</v>
      </c>
      <c r="G273" s="2"/>
      <c r="H273" s="2"/>
      <c r="I273" s="2"/>
    </row>
    <row r="274" spans="1:9" ht="13" x14ac:dyDescent="0.3">
      <c r="A274" s="2" t="str">
        <f ca="1">IFERROR(__xludf.DUMMYFUNCTION("""COMPUTED_VALUE"""),"MG WEST/BUSINESS INTERIORS GROUP-CA")</f>
        <v>MG WEST/BUSINESS INTERIORS GROUP-CA</v>
      </c>
      <c r="B274" s="3"/>
      <c r="C274" s="2" t="str">
        <f ca="1">IFERROR(__xludf.DUMMYFUNCTION("""COMPUTED_VALUE"""),"*P O BOX 7231")</f>
        <v>*P O BOX 7231</v>
      </c>
      <c r="D274" s="2" t="str">
        <f ca="1">IFERROR(__xludf.DUMMYFUNCTION("""COMPUTED_VALUE"""),"SAN FRANCISCO")</f>
        <v>SAN FRANCISCO</v>
      </c>
      <c r="E274" s="2" t="str">
        <f ca="1">IFERROR(__xludf.DUMMYFUNCTION("""COMPUTED_VALUE"""),"CA")</f>
        <v>CA</v>
      </c>
      <c r="F274" s="4" t="str">
        <f ca="1">IFERROR(__xludf.DUMMYFUNCTION("""COMPUTED_VALUE"""),"94120")</f>
        <v>94120</v>
      </c>
      <c r="G274" s="2"/>
      <c r="H274" s="2"/>
      <c r="I274" s="2"/>
    </row>
    <row r="275" spans="1:9" ht="13" x14ac:dyDescent="0.3">
      <c r="A275" s="2" t="str">
        <f ca="1">IFERROR(__xludf.DUMMYFUNCTION("""COMPUTED_VALUE"""),"MICHAELS OFFICE FURNISHINGS/NORTHERN INT")</f>
        <v>MICHAELS OFFICE FURNISHINGS/NORTHERN INT</v>
      </c>
      <c r="B275" s="3"/>
      <c r="C275" s="2" t="str">
        <f ca="1">IFERROR(__xludf.DUMMYFUNCTION("""COMPUTED_VALUE"""),"*5138 CATERPILLAR RD")</f>
        <v>*5138 CATERPILLAR RD</v>
      </c>
      <c r="D275" s="2" t="str">
        <f ca="1">IFERROR(__xludf.DUMMYFUNCTION("""COMPUTED_VALUE"""),"REDDING")</f>
        <v>REDDING</v>
      </c>
      <c r="E275" s="2" t="str">
        <f ca="1">IFERROR(__xludf.DUMMYFUNCTION("""COMPUTED_VALUE"""),"CA")</f>
        <v>CA</v>
      </c>
      <c r="F275" s="4" t="str">
        <f ca="1">IFERROR(__xludf.DUMMYFUNCTION("""COMPUTED_VALUE"""),"96002")</f>
        <v>96002</v>
      </c>
      <c r="G275" s="2"/>
      <c r="H275" s="2"/>
      <c r="I275" s="2"/>
    </row>
    <row r="276" spans="1:9" ht="13" x14ac:dyDescent="0.3">
      <c r="A276" s="2" t="str">
        <f ca="1">IFERROR(__xludf.DUMMYFUNCTION("""COMPUTED_VALUE"""),"MILES TREASTER &amp; ASSOCIATES")</f>
        <v>MILES TREASTER &amp; ASSOCIATES</v>
      </c>
      <c r="B276" s="3" t="str">
        <f ca="1">IFERROR(__xludf.DUMMYFUNCTION("""COMPUTED_VALUE"""),"s/w")</f>
        <v>s/w</v>
      </c>
      <c r="C276" s="2" t="str">
        <f ca="1">IFERROR(__xludf.DUMMYFUNCTION("""COMPUTED_VALUE"""),"*1810 13TH ST STE #1")</f>
        <v>*1810 13TH ST STE #1</v>
      </c>
      <c r="D276" s="2" t="str">
        <f ca="1">IFERROR(__xludf.DUMMYFUNCTION("""COMPUTED_VALUE"""),"SACRAMENTO")</f>
        <v>SACRAMENTO</v>
      </c>
      <c r="E276" s="2" t="str">
        <f ca="1">IFERROR(__xludf.DUMMYFUNCTION("""COMPUTED_VALUE"""),"CA")</f>
        <v>CA</v>
      </c>
      <c r="F276" s="4" t="str">
        <f ca="1">IFERROR(__xludf.DUMMYFUNCTION("""COMPUTED_VALUE"""),"95811")</f>
        <v>95811</v>
      </c>
      <c r="G276" s="2"/>
      <c r="H276" s="2"/>
      <c r="I276" s="2"/>
    </row>
    <row r="277" spans="1:9" ht="13" x14ac:dyDescent="0.3">
      <c r="A277" s="2" t="str">
        <f ca="1">IFERROR(__xludf.DUMMYFUNCTION("""COMPUTED_VALUE"""),"MILLERS SUPPLIES AT WORK")</f>
        <v>MILLERS SUPPLIES AT WORK</v>
      </c>
      <c r="B277" s="3"/>
      <c r="C277" s="2" t="str">
        <f ca="1">IFERROR(__xludf.DUMMYFUNCTION("""COMPUTED_VALUE"""),"*P O BOX 1335")</f>
        <v>*P O BOX 1335</v>
      </c>
      <c r="D277" s="2" t="str">
        <f ca="1">IFERROR(__xludf.DUMMYFUNCTION("""COMPUTED_VALUE"""),"NEWINGTON")</f>
        <v>NEWINGTON</v>
      </c>
      <c r="E277" s="2" t="str">
        <f ca="1">IFERROR(__xludf.DUMMYFUNCTION("""COMPUTED_VALUE"""),"VA")</f>
        <v>VA</v>
      </c>
      <c r="F277" s="4" t="str">
        <f ca="1">IFERROR(__xludf.DUMMYFUNCTION("""COMPUTED_VALUE"""),"22122-1335")</f>
        <v>22122-1335</v>
      </c>
      <c r="G277" s="2"/>
      <c r="H277" s="2"/>
      <c r="I277" s="2"/>
    </row>
    <row r="278" spans="1:9" ht="13" x14ac:dyDescent="0.3">
      <c r="A278" s="2" t="str">
        <f ca="1">IFERROR(__xludf.DUMMYFUNCTION("""COMPUTED_VALUE"""),"MILLINGTON LOCKWOOD BUSINESS INTERIORS")</f>
        <v>MILLINGTON LOCKWOOD BUSINESS INTERIORS</v>
      </c>
      <c r="B278" s="3"/>
      <c r="C278" s="2" t="str">
        <f ca="1">IFERROR(__xludf.DUMMYFUNCTION("""COMPUTED_VALUE"""),"*3901 GENESEE ST STE 800")</f>
        <v>*3901 GENESEE ST STE 800</v>
      </c>
      <c r="D278" s="2" t="str">
        <f ca="1">IFERROR(__xludf.DUMMYFUNCTION("""COMPUTED_VALUE"""),"BUFFALO")</f>
        <v>BUFFALO</v>
      </c>
      <c r="E278" s="2" t="str">
        <f ca="1">IFERROR(__xludf.DUMMYFUNCTION("""COMPUTED_VALUE"""),"NY")</f>
        <v>NY</v>
      </c>
      <c r="F278" s="4" t="str">
        <f ca="1">IFERROR(__xludf.DUMMYFUNCTION("""COMPUTED_VALUE"""),"14225-1310")</f>
        <v>14225-1310</v>
      </c>
      <c r="G278" s="2"/>
      <c r="H278" s="2"/>
      <c r="I278" s="2"/>
    </row>
    <row r="279" spans="1:9" ht="13" x14ac:dyDescent="0.3">
      <c r="A279" s="2" t="str">
        <f ca="1">IFERROR(__xludf.DUMMYFUNCTION("""COMPUTED_VALUE"""),"MISC-GSA")</f>
        <v>MISC-GSA</v>
      </c>
      <c r="B279" s="3"/>
      <c r="C279" s="2" t="str">
        <f ca="1">IFERROR(__xludf.DUMMYFUNCTION("""COMPUTED_VALUE"""),"*OFS PO BOX 100")</f>
        <v>*OFS PO BOX 100</v>
      </c>
      <c r="D279" s="2" t="str">
        <f ca="1">IFERROR(__xludf.DUMMYFUNCTION("""COMPUTED_VALUE"""),"HUNTINGBURG")</f>
        <v>HUNTINGBURG</v>
      </c>
      <c r="E279" s="2" t="str">
        <f ca="1">IFERROR(__xludf.DUMMYFUNCTION("""COMPUTED_VALUE"""),"IN")</f>
        <v>IN</v>
      </c>
      <c r="F279" s="4" t="str">
        <f ca="1">IFERROR(__xludf.DUMMYFUNCTION("""COMPUTED_VALUE"""),"47542")</f>
        <v>47542</v>
      </c>
      <c r="G279" s="2"/>
      <c r="H279" s="2"/>
      <c r="I279" s="2"/>
    </row>
    <row r="280" spans="1:9" ht="13" x14ac:dyDescent="0.3">
      <c r="A280" s="2" t="str">
        <f ca="1">IFERROR(__xludf.DUMMYFUNCTION("""COMPUTED_VALUE"""),"MODERN ENVIRONMENTS")</f>
        <v>MODERN ENVIRONMENTS</v>
      </c>
      <c r="B280" s="3"/>
      <c r="C280" s="2" t="str">
        <f ca="1">IFERROR(__xludf.DUMMYFUNCTION("""COMPUTED_VALUE"""),"*904 ENFIELD CHASE")</f>
        <v>*904 ENFIELD CHASE</v>
      </c>
      <c r="D280" s="2" t="str">
        <f ca="1">IFERROR(__xludf.DUMMYFUNCTION("""COMPUTED_VALUE"""),"VIRGINIA BEACH")</f>
        <v>VIRGINIA BEACH</v>
      </c>
      <c r="E280" s="2" t="str">
        <f ca="1">IFERROR(__xludf.DUMMYFUNCTION("""COMPUTED_VALUE"""),"VA")</f>
        <v>VA</v>
      </c>
      <c r="F280" s="4" t="str">
        <f ca="1">IFERROR(__xludf.DUMMYFUNCTION("""COMPUTED_VALUE"""),"23452")</f>
        <v>23452</v>
      </c>
      <c r="G280" s="2"/>
      <c r="H280" s="2"/>
      <c r="I280" s="2"/>
    </row>
    <row r="281" spans="1:9" ht="13" x14ac:dyDescent="0.3">
      <c r="A281" s="2" t="str">
        <f ca="1">IFERROR(__xludf.DUMMYFUNCTION("""COMPUTED_VALUE"""),"MOI INC-MARYLAND")</f>
        <v>MOI INC-MARYLAND</v>
      </c>
      <c r="B281" s="3"/>
      <c r="C281" s="2" t="str">
        <f ca="1">IFERROR(__xludf.DUMMYFUNCTION("""COMPUTED_VALUE"""),"*1801 PORTER ST STE 100")</f>
        <v>*1801 PORTER ST STE 100</v>
      </c>
      <c r="D281" s="2" t="str">
        <f ca="1">IFERROR(__xludf.DUMMYFUNCTION("""COMPUTED_VALUE"""),"BALTIMORE")</f>
        <v>BALTIMORE</v>
      </c>
      <c r="E281" s="2" t="str">
        <f ca="1">IFERROR(__xludf.DUMMYFUNCTION("""COMPUTED_VALUE"""),"MD")</f>
        <v>MD</v>
      </c>
      <c r="F281" s="4" t="str">
        <f ca="1">IFERROR(__xludf.DUMMYFUNCTION("""COMPUTED_VALUE"""),"21230")</f>
        <v>21230</v>
      </c>
      <c r="G281" s="2"/>
      <c r="H281" s="2"/>
      <c r="I281" s="2"/>
    </row>
    <row r="282" spans="1:9" ht="13" x14ac:dyDescent="0.3">
      <c r="A282" s="2" t="str">
        <f ca="1">IFERROR(__xludf.DUMMYFUNCTION("""COMPUTED_VALUE"""),"MOI INC-VIRGINIA")</f>
        <v>MOI INC-VIRGINIA</v>
      </c>
      <c r="B282" s="3"/>
      <c r="C282" s="2" t="str">
        <f ca="1">IFERROR(__xludf.DUMMYFUNCTION("""COMPUTED_VALUE"""),"*1801 PORTER ST STE 100")</f>
        <v>*1801 PORTER ST STE 100</v>
      </c>
      <c r="D282" s="2" t="str">
        <f ca="1">IFERROR(__xludf.DUMMYFUNCTION("""COMPUTED_VALUE"""),"BALTIMORE")</f>
        <v>BALTIMORE</v>
      </c>
      <c r="E282" s="2" t="str">
        <f ca="1">IFERROR(__xludf.DUMMYFUNCTION("""COMPUTED_VALUE"""),"MD")</f>
        <v>MD</v>
      </c>
      <c r="F282" s="4" t="str">
        <f ca="1">IFERROR(__xludf.DUMMYFUNCTION("""COMPUTED_VALUE"""),"21230")</f>
        <v>21230</v>
      </c>
      <c r="G282" s="2"/>
      <c r="H282" s="2"/>
      <c r="I282" s="2"/>
    </row>
    <row r="283" spans="1:9" ht="13" x14ac:dyDescent="0.3">
      <c r="A283" s="2" t="str">
        <f ca="1">IFERROR(__xludf.DUMMYFUNCTION("""COMPUTED_VALUE"""),"NATIONAL OFFICE SYSTEMS INC")</f>
        <v>NATIONAL OFFICE SYSTEMS INC</v>
      </c>
      <c r="B283" s="3"/>
      <c r="C283" s="2" t="str">
        <f ca="1">IFERROR(__xludf.DUMMYFUNCTION("""COMPUTED_VALUE"""),"*120 E 42ND ST")</f>
        <v>*120 E 42ND ST</v>
      </c>
      <c r="D283" s="2" t="str">
        <f ca="1">IFERROR(__xludf.DUMMYFUNCTION("""COMPUTED_VALUE"""),"SAVANNAH")</f>
        <v>SAVANNAH</v>
      </c>
      <c r="E283" s="2" t="str">
        <f ca="1">IFERROR(__xludf.DUMMYFUNCTION("""COMPUTED_VALUE"""),"GA")</f>
        <v>GA</v>
      </c>
      <c r="F283" s="4" t="str">
        <f ca="1">IFERROR(__xludf.DUMMYFUNCTION("""COMPUTED_VALUE"""),"31401")</f>
        <v>31401</v>
      </c>
      <c r="G283" s="2"/>
      <c r="H283" s="2"/>
      <c r="I283" s="2"/>
    </row>
    <row r="284" spans="1:9" ht="13" x14ac:dyDescent="0.3">
      <c r="A284" s="2" t="str">
        <f ca="1">IFERROR(__xludf.DUMMYFUNCTION("""COMPUTED_VALUE"""),"NAVAJO OFFICE PRODUCTS LLC")</f>
        <v>NAVAJO OFFICE PRODUCTS LLC</v>
      </c>
      <c r="B284" s="3" t="str">
        <f ca="1">IFERROR(__xludf.DUMMYFUNCTION("""COMPUTED_VALUE"""),"TX HUB/HI/M")</f>
        <v>TX HUB/HI/M</v>
      </c>
      <c r="C284" s="2" t="str">
        <f ca="1">IFERROR(__xludf.DUMMYFUNCTION("""COMPUTED_VALUE"""),"*1200 S TAYLOR")</f>
        <v>*1200 S TAYLOR</v>
      </c>
      <c r="D284" s="2" t="str">
        <f ca="1">IFERROR(__xludf.DUMMYFUNCTION("""COMPUTED_VALUE"""),"AMARILLO")</f>
        <v>AMARILLO</v>
      </c>
      <c r="E284" s="2" t="str">
        <f ca="1">IFERROR(__xludf.DUMMYFUNCTION("""COMPUTED_VALUE"""),"TX")</f>
        <v>TX</v>
      </c>
      <c r="F284" s="4" t="str">
        <f ca="1">IFERROR(__xludf.DUMMYFUNCTION("""COMPUTED_VALUE"""),"79101")</f>
        <v>79101</v>
      </c>
      <c r="G284" s="2"/>
      <c r="H284" s="2"/>
      <c r="I284" s="2"/>
    </row>
    <row r="285" spans="1:9" ht="13" x14ac:dyDescent="0.3">
      <c r="A285" s="2" t="str">
        <f ca="1">IFERROR(__xludf.DUMMYFUNCTION("""COMPUTED_VALUE"""),"NELSON INTERIORS LLC")</f>
        <v>NELSON INTERIORS LLC</v>
      </c>
      <c r="B285" s="3"/>
      <c r="C285" s="2" t="str">
        <f ca="1">IFERROR(__xludf.DUMMYFUNCTION("""COMPUTED_VALUE"""),"*1914 GRANDSTAND DR")</f>
        <v>*1914 GRANDSTAND DR</v>
      </c>
      <c r="D285" s="2" t="str">
        <f ca="1">IFERROR(__xludf.DUMMYFUNCTION("""COMPUTED_VALUE"""),"SAN ANTONIO")</f>
        <v>SAN ANTONIO</v>
      </c>
      <c r="E285" s="2" t="str">
        <f ca="1">IFERROR(__xludf.DUMMYFUNCTION("""COMPUTED_VALUE"""),"TX")</f>
        <v>TX</v>
      </c>
      <c r="F285" s="4" t="str">
        <f ca="1">IFERROR(__xludf.DUMMYFUNCTION("""COMPUTED_VALUE"""),"78238")</f>
        <v>78238</v>
      </c>
      <c r="G285" s="2"/>
      <c r="H285" s="2"/>
      <c r="I285" s="2"/>
    </row>
    <row r="286" spans="1:9" ht="13" x14ac:dyDescent="0.3">
      <c r="A286" s="2" t="str">
        <f ca="1">IFERROR(__xludf.DUMMYFUNCTION("""COMPUTED_VALUE"""),"NEW DAY OFFICE PRODUCTS")</f>
        <v>NEW DAY OFFICE PRODUCTS</v>
      </c>
      <c r="B286" s="3" t="str">
        <f ca="1">IFERROR(__xludf.DUMMYFUNCTION("""COMPUTED_VALUE"""),"s")</f>
        <v>s</v>
      </c>
      <c r="C286" s="2" t="str">
        <f ca="1">IFERROR(__xludf.DUMMYFUNCTION("""COMPUTED_VALUE"""),"*1000 BOWEN PKWY")</f>
        <v>*1000 BOWEN PKWY</v>
      </c>
      <c r="D286" s="2" t="str">
        <f ca="1">IFERROR(__xludf.DUMMYFUNCTION("""COMPUTED_VALUE"""),"SUFFOLK")</f>
        <v>SUFFOLK</v>
      </c>
      <c r="E286" s="2" t="str">
        <f ca="1">IFERROR(__xludf.DUMMYFUNCTION("""COMPUTED_VALUE"""),"VA")</f>
        <v>VA</v>
      </c>
      <c r="F286" s="4" t="str">
        <f ca="1">IFERROR(__xludf.DUMMYFUNCTION("""COMPUTED_VALUE"""),"23435")</f>
        <v>23435</v>
      </c>
      <c r="G286" s="2"/>
      <c r="H286" s="2"/>
      <c r="I286" s="2"/>
    </row>
    <row r="287" spans="1:9" ht="13" x14ac:dyDescent="0.3">
      <c r="A287" s="2" t="str">
        <f ca="1">IFERROR(__xludf.DUMMYFUNCTION("""COMPUTED_VALUE"""),"NOI-NASHVILLE OFFICE INTERIORS")</f>
        <v>NOI-NASHVILLE OFFICE INTERIORS</v>
      </c>
      <c r="B287" s="3"/>
      <c r="C287" s="2" t="str">
        <f ca="1">IFERROR(__xludf.DUMMYFUNCTION("""COMPUTED_VALUE"""),"*611 3RD AVE SOUTH")</f>
        <v>*611 3RD AVE SOUTH</v>
      </c>
      <c r="D287" s="2" t="str">
        <f ca="1">IFERROR(__xludf.DUMMYFUNCTION("""COMPUTED_VALUE"""),"NASHVILLE")</f>
        <v>NASHVILLE</v>
      </c>
      <c r="E287" s="2" t="str">
        <f ca="1">IFERROR(__xludf.DUMMYFUNCTION("""COMPUTED_VALUE"""),"TN")</f>
        <v>TN</v>
      </c>
      <c r="F287" s="4" t="str">
        <f ca="1">IFERROR(__xludf.DUMMYFUNCTION("""COMPUTED_VALUE"""),"37203")</f>
        <v>37203</v>
      </c>
      <c r="G287" s="2"/>
      <c r="H287" s="2"/>
      <c r="I287" s="2"/>
    </row>
    <row r="288" spans="1:9" ht="13" x14ac:dyDescent="0.3">
      <c r="A288" s="2" t="str">
        <f ca="1">IFERROR(__xludf.DUMMYFUNCTION("""COMPUTED_VALUE"""),"NORBYS WORK PERKS")</f>
        <v>NORBYS WORK PERKS</v>
      </c>
      <c r="B288" s="3"/>
      <c r="C288" s="2" t="str">
        <f ca="1">IFERROR(__xludf.DUMMYFUNCTION("""COMPUTED_VALUE"""),"*11 S 4TH ST")</f>
        <v>*11 S 4TH ST</v>
      </c>
      <c r="D288" s="2" t="str">
        <f ca="1">IFERROR(__xludf.DUMMYFUNCTION("""COMPUTED_VALUE"""),"GRAND FORKS")</f>
        <v>GRAND FORKS</v>
      </c>
      <c r="E288" s="2" t="str">
        <f ca="1">IFERROR(__xludf.DUMMYFUNCTION("""COMPUTED_VALUE"""),"ND")</f>
        <v>ND</v>
      </c>
      <c r="F288" s="4" t="str">
        <f ca="1">IFERROR(__xludf.DUMMYFUNCTION("""COMPUTED_VALUE"""),"58201")</f>
        <v>58201</v>
      </c>
      <c r="G288" s="2"/>
      <c r="H288" s="2"/>
      <c r="I288" s="2"/>
    </row>
    <row r="289" spans="1:9" ht="13" x14ac:dyDescent="0.3">
      <c r="A289" s="2" t="str">
        <f ca="1">IFERROR(__xludf.DUMMYFUNCTION("""COMPUTED_VALUE"""),"NORDON BUSINESS ENVIRONMENTS")</f>
        <v>NORDON BUSINESS ENVIRONMENTS</v>
      </c>
      <c r="B289" s="3"/>
      <c r="C289" s="2" t="str">
        <f ca="1">IFERROR(__xludf.DUMMYFUNCTION("""COMPUTED_VALUE"""),"*3300 E WINSLOW AVE")</f>
        <v>*3300 E WINSLOW AVE</v>
      </c>
      <c r="D289" s="2" t="str">
        <f ca="1">IFERROR(__xludf.DUMMYFUNCTION("""COMPUTED_VALUE"""),"APPLETON")</f>
        <v>APPLETON</v>
      </c>
      <c r="E289" s="2" t="str">
        <f ca="1">IFERROR(__xludf.DUMMYFUNCTION("""COMPUTED_VALUE"""),"WI")</f>
        <v>WI</v>
      </c>
      <c r="F289" s="4" t="str">
        <f ca="1">IFERROR(__xludf.DUMMYFUNCTION("""COMPUTED_VALUE"""),"54911")</f>
        <v>54911</v>
      </c>
      <c r="G289" s="2"/>
      <c r="H289" s="2"/>
      <c r="I289" s="2"/>
    </row>
    <row r="290" spans="1:9" ht="39" x14ac:dyDescent="0.3">
      <c r="A290" s="2" t="str">
        <f ca="1">IFERROR(__xludf.DUMMYFUNCTION("""COMPUTED_VALUE"""),"NW OFFICE INTERIORS")</f>
        <v>NW OFFICE INTERIORS</v>
      </c>
      <c r="B290" s="3" t="str">
        <f ca="1">IFERROR(__xludf.DUMMYFUNCTION("""COMPUTED_VALUE"""),"Oregon Certified MBE Minority Owned")</f>
        <v>Oregon Certified MBE Minority Owned</v>
      </c>
      <c r="C290" s="2" t="str">
        <f ca="1">IFERROR(__xludf.DUMMYFUNCTION("""COMPUTED_VALUE"""),"*6400 SE LAKE RD STE 375")</f>
        <v>*6400 SE LAKE RD STE 375</v>
      </c>
      <c r="D290" s="2" t="str">
        <f ca="1">IFERROR(__xludf.DUMMYFUNCTION("""COMPUTED_VALUE"""),"MILWAUKIE")</f>
        <v>MILWAUKIE</v>
      </c>
      <c r="E290" s="2" t="str">
        <f ca="1">IFERROR(__xludf.DUMMYFUNCTION("""COMPUTED_VALUE"""),"OR")</f>
        <v>OR</v>
      </c>
      <c r="F290" s="4" t="str">
        <f ca="1">IFERROR(__xludf.DUMMYFUNCTION("""COMPUTED_VALUE"""),"97222")</f>
        <v>97222</v>
      </c>
      <c r="G290" s="2"/>
      <c r="H290" s="2"/>
      <c r="I290" s="2"/>
    </row>
    <row r="291" spans="1:9" ht="39" x14ac:dyDescent="0.3">
      <c r="A291" s="2" t="str">
        <f ca="1">IFERROR(__xludf.DUMMYFUNCTION("""COMPUTED_VALUE"""),"NW OFFICE INTERIORS INC")</f>
        <v>NW OFFICE INTERIORS INC</v>
      </c>
      <c r="B291" s="3" t="str">
        <f ca="1">IFERROR(__xludf.DUMMYFUNCTION("""COMPUTED_VALUE"""),"Oregon Certified MBE Minority Owned")</f>
        <v>Oregon Certified MBE Minority Owned</v>
      </c>
      <c r="C291" s="2" t="str">
        <f ca="1">IFERROR(__xludf.DUMMYFUNCTION("""COMPUTED_VALUE"""),"*6400 SE LAKE RD STE 375")</f>
        <v>*6400 SE LAKE RD STE 375</v>
      </c>
      <c r="D291" s="2" t="str">
        <f ca="1">IFERROR(__xludf.DUMMYFUNCTION("""COMPUTED_VALUE"""),"MILWAUKIE")</f>
        <v>MILWAUKIE</v>
      </c>
      <c r="E291" s="2" t="str">
        <f ca="1">IFERROR(__xludf.DUMMYFUNCTION("""COMPUTED_VALUE"""),"OR")</f>
        <v>OR</v>
      </c>
      <c r="F291" s="4" t="str">
        <f ca="1">IFERROR(__xludf.DUMMYFUNCTION("""COMPUTED_VALUE"""),"97222")</f>
        <v>97222</v>
      </c>
      <c r="G291" s="2"/>
      <c r="H291" s="2"/>
      <c r="I291" s="2"/>
    </row>
    <row r="292" spans="1:9" ht="13" x14ac:dyDescent="0.3">
      <c r="A292" s="2" t="str">
        <f ca="1">IFERROR(__xludf.DUMMYFUNCTION("""COMPUTED_VALUE"""),"O P/CONTRACT FURNISHERS/HAWAII")</f>
        <v>O P/CONTRACT FURNISHERS/HAWAII</v>
      </c>
      <c r="B292" s="3" t="str">
        <f ca="1">IFERROR(__xludf.DUMMYFUNCTION("""COMPUTED_VALUE"""),"WO, SB")</f>
        <v>WO, SB</v>
      </c>
      <c r="C292" s="2" t="str">
        <f ca="1">IFERROR(__xludf.DUMMYFUNCTION("""COMPUTED_VALUE"""),"*KUKUI PLAZA  50 S BERETANIA ST STE C-208B")</f>
        <v>*KUKUI PLAZA  50 S BERETANIA ST STE C-208B</v>
      </c>
      <c r="D292" s="2" t="str">
        <f ca="1">IFERROR(__xludf.DUMMYFUNCTION("""COMPUTED_VALUE"""),"HONOLULU")</f>
        <v>HONOLULU</v>
      </c>
      <c r="E292" s="2" t="str">
        <f ca="1">IFERROR(__xludf.DUMMYFUNCTION("""COMPUTED_VALUE"""),"HI")</f>
        <v>HI</v>
      </c>
      <c r="F292" s="4" t="str">
        <f ca="1">IFERROR(__xludf.DUMMYFUNCTION("""COMPUTED_VALUE"""),"96813")</f>
        <v>96813</v>
      </c>
      <c r="G292" s="2"/>
      <c r="H292" s="2"/>
      <c r="I292" s="2"/>
    </row>
    <row r="293" spans="1:9" ht="13" x14ac:dyDescent="0.3">
      <c r="A293" s="2" t="str">
        <f ca="1">IFERROR(__xludf.DUMMYFUNCTION("""COMPUTED_VALUE"""),"O P/PIGOTT INC-DES MOINES")</f>
        <v>O P/PIGOTT INC-DES MOINES</v>
      </c>
      <c r="B293" s="3"/>
      <c r="C293" s="2" t="str">
        <f ca="1">IFERROR(__xludf.DUMMYFUNCTION("""COMPUTED_VALUE"""),"*3815 INGERSOLL AVE")</f>
        <v>*3815 INGERSOLL AVE</v>
      </c>
      <c r="D293" s="2" t="str">
        <f ca="1">IFERROR(__xludf.DUMMYFUNCTION("""COMPUTED_VALUE"""),"DES MOINES")</f>
        <v>DES MOINES</v>
      </c>
      <c r="E293" s="2" t="str">
        <f ca="1">IFERROR(__xludf.DUMMYFUNCTION("""COMPUTED_VALUE"""),"IA")</f>
        <v>IA</v>
      </c>
      <c r="F293" s="4" t="str">
        <f ca="1">IFERROR(__xludf.DUMMYFUNCTION("""COMPUTED_VALUE"""),"50312")</f>
        <v>50312</v>
      </c>
      <c r="G293" s="2"/>
      <c r="H293" s="2"/>
      <c r="I293" s="2"/>
    </row>
    <row r="294" spans="1:9" ht="13" x14ac:dyDescent="0.3">
      <c r="A294" s="2" t="str">
        <f ca="1">IFERROR(__xludf.DUMMYFUNCTION("""COMPUTED_VALUE"""),"OEC BUSINESS INTERIORS - GAINESVILLE")</f>
        <v>OEC BUSINESS INTERIORS - GAINESVILLE</v>
      </c>
      <c r="B294" s="3"/>
      <c r="C294" s="2" t="str">
        <f ca="1">IFERROR(__xludf.DUMMYFUNCTION("""COMPUTED_VALUE"""),"*1601 NW 80TH BLVD")</f>
        <v>*1601 NW 80TH BLVD</v>
      </c>
      <c r="D294" s="2" t="str">
        <f ca="1">IFERROR(__xludf.DUMMYFUNCTION("""COMPUTED_VALUE"""),"GAINESVILLE")</f>
        <v>GAINESVILLE</v>
      </c>
      <c r="E294" s="2" t="str">
        <f ca="1">IFERROR(__xludf.DUMMYFUNCTION("""COMPUTED_VALUE"""),"FL")</f>
        <v>FL</v>
      </c>
      <c r="F294" s="4" t="str">
        <f ca="1">IFERROR(__xludf.DUMMYFUNCTION("""COMPUTED_VALUE"""),"32606")</f>
        <v>32606</v>
      </c>
      <c r="G294" s="2"/>
      <c r="H294" s="2"/>
      <c r="I294" s="2"/>
    </row>
    <row r="295" spans="1:9" ht="13" x14ac:dyDescent="0.3">
      <c r="A295" s="2" t="str">
        <f ca="1">IFERROR(__xludf.DUMMYFUNCTION("""COMPUTED_VALUE"""),"OFFICE &amp; ERGONOMIC SOLUTIONS")</f>
        <v>OFFICE &amp; ERGONOMIC SOLUTIONS</v>
      </c>
      <c r="B295" s="3"/>
      <c r="C295" s="2" t="str">
        <f ca="1">IFERROR(__xludf.DUMMYFUNCTION("""COMPUTED_VALUE"""),"*8480 UTICA AVE")</f>
        <v>*8480 UTICA AVE</v>
      </c>
      <c r="D295" s="2" t="str">
        <f ca="1">IFERROR(__xludf.DUMMYFUNCTION("""COMPUTED_VALUE"""),"RANCHO CUCAMONGA")</f>
        <v>RANCHO CUCAMONGA</v>
      </c>
      <c r="E295" s="2" t="str">
        <f ca="1">IFERROR(__xludf.DUMMYFUNCTION("""COMPUTED_VALUE"""),"CA")</f>
        <v>CA</v>
      </c>
      <c r="F295" s="4" t="str">
        <f ca="1">IFERROR(__xludf.DUMMYFUNCTION("""COMPUTED_VALUE"""),"91730")</f>
        <v>91730</v>
      </c>
      <c r="G295" s="2"/>
      <c r="H295" s="2"/>
      <c r="I295" s="2"/>
    </row>
    <row r="296" spans="1:9" ht="13" x14ac:dyDescent="0.3">
      <c r="A296" s="2" t="str">
        <f ca="1">IFERROR(__xludf.DUMMYFUNCTION("""COMPUTED_VALUE"""),"OFFICE CONCEPTS LTD-WATERLOO")</f>
        <v>OFFICE CONCEPTS LTD-WATERLOO</v>
      </c>
      <c r="B296" s="3"/>
      <c r="C296" s="2" t="str">
        <f ca="1">IFERROR(__xludf.DUMMYFUNCTION("""COMPUTED_VALUE"""),"*319 BROADWAY ST  BOX 808")</f>
        <v>*319 BROADWAY ST  BOX 808</v>
      </c>
      <c r="D296" s="2" t="str">
        <f ca="1">IFERROR(__xludf.DUMMYFUNCTION("""COMPUTED_VALUE"""),"WATERLOO")</f>
        <v>WATERLOO</v>
      </c>
      <c r="E296" s="2" t="str">
        <f ca="1">IFERROR(__xludf.DUMMYFUNCTION("""COMPUTED_VALUE"""),"IA")</f>
        <v>IA</v>
      </c>
      <c r="F296" s="4" t="str">
        <f ca="1">IFERROR(__xludf.DUMMYFUNCTION("""COMPUTED_VALUE"""),"50704")</f>
        <v>50704</v>
      </c>
      <c r="G296" s="2"/>
      <c r="H296" s="2"/>
      <c r="I296" s="2"/>
    </row>
    <row r="297" spans="1:9" ht="13" x14ac:dyDescent="0.3">
      <c r="A297" s="2" t="str">
        <f ca="1">IFERROR(__xludf.DUMMYFUNCTION("""COMPUTED_VALUE"""),"OFFICE CREATIONS")</f>
        <v>OFFICE CREATIONS</v>
      </c>
      <c r="B297" s="3" t="str">
        <f ca="1">IFERROR(__xludf.DUMMYFUNCTION("""COMPUTED_VALUE"""),"WO")</f>
        <v>WO</v>
      </c>
      <c r="C297" s="2" t="str">
        <f ca="1">IFERROR(__xludf.DUMMYFUNCTION("""COMPUTED_VALUE"""),"*5250 BROOK HOLLOW PKWY")</f>
        <v>*5250 BROOK HOLLOW PKWY</v>
      </c>
      <c r="D297" s="2" t="str">
        <f ca="1">IFERROR(__xludf.DUMMYFUNCTION("""COMPUTED_VALUE"""),"NORCROSS")</f>
        <v>NORCROSS</v>
      </c>
      <c r="E297" s="2" t="str">
        <f ca="1">IFERROR(__xludf.DUMMYFUNCTION("""COMPUTED_VALUE"""),"GA")</f>
        <v>GA</v>
      </c>
      <c r="F297" s="4" t="str">
        <f ca="1">IFERROR(__xludf.DUMMYFUNCTION("""COMPUTED_VALUE"""),"30071")</f>
        <v>30071</v>
      </c>
      <c r="G297" s="2"/>
      <c r="H297" s="2"/>
      <c r="I297" s="2"/>
    </row>
    <row r="298" spans="1:9" ht="13" x14ac:dyDescent="0.3">
      <c r="A298" s="2" t="str">
        <f ca="1">IFERROR(__xludf.DUMMYFUNCTION("""COMPUTED_VALUE"""),"OFFICE DESIGN GROUP INC")</f>
        <v>OFFICE DESIGN GROUP INC</v>
      </c>
      <c r="B298" s="3"/>
      <c r="C298" s="2" t="str">
        <f ca="1">IFERROR(__xludf.DUMMYFUNCTION("""COMPUTED_VALUE"""),"*9963 MUIRLANDS BLVD")</f>
        <v>*9963 MUIRLANDS BLVD</v>
      </c>
      <c r="D298" s="2" t="str">
        <f ca="1">IFERROR(__xludf.DUMMYFUNCTION("""COMPUTED_VALUE"""),"IRVINE")</f>
        <v>IRVINE</v>
      </c>
      <c r="E298" s="2" t="str">
        <f ca="1">IFERROR(__xludf.DUMMYFUNCTION("""COMPUTED_VALUE"""),"CA")</f>
        <v>CA</v>
      </c>
      <c r="F298" s="4" t="str">
        <f ca="1">IFERROR(__xludf.DUMMYFUNCTION("""COMPUTED_VALUE"""),"92618")</f>
        <v>92618</v>
      </c>
      <c r="G298" s="2"/>
      <c r="H298" s="2"/>
      <c r="I298" s="2"/>
    </row>
    <row r="299" spans="1:9" ht="13" x14ac:dyDescent="0.3">
      <c r="A299" s="2" t="str">
        <f ca="1">IFERROR(__xludf.DUMMYFUNCTION("""COMPUTED_VALUE"""),"OFFICE DIMENSIONS INC - FL")</f>
        <v>OFFICE DIMENSIONS INC - FL</v>
      </c>
      <c r="B299" s="3"/>
      <c r="C299" s="2" t="str">
        <f ca="1">IFERROR(__xludf.DUMMYFUNCTION("""COMPUTED_VALUE"""),"*3621 NE 1ST CT")</f>
        <v>*3621 NE 1ST CT</v>
      </c>
      <c r="D299" s="2" t="str">
        <f ca="1">IFERROR(__xludf.DUMMYFUNCTION("""COMPUTED_VALUE"""),"MIAMI")</f>
        <v>MIAMI</v>
      </c>
      <c r="E299" s="2" t="str">
        <f ca="1">IFERROR(__xludf.DUMMYFUNCTION("""COMPUTED_VALUE"""),"FL")</f>
        <v>FL</v>
      </c>
      <c r="F299" s="4" t="str">
        <f ca="1">IFERROR(__xludf.DUMMYFUNCTION("""COMPUTED_VALUE"""),"33137")</f>
        <v>33137</v>
      </c>
      <c r="G299" s="2"/>
      <c r="H299" s="2"/>
      <c r="I299" s="2"/>
    </row>
    <row r="300" spans="1:9" ht="13" x14ac:dyDescent="0.3">
      <c r="A300" s="2" t="str">
        <f ca="1">IFERROR(__xludf.DUMMYFUNCTION("""COMPUTED_VALUE"""),"OFFICE ENVIRONMENTS &amp; SERVICES INC")</f>
        <v>OFFICE ENVIRONMENTS &amp; SERVICES INC</v>
      </c>
      <c r="B300" s="3"/>
      <c r="C300" s="2" t="str">
        <f ca="1">IFERROR(__xludf.DUMMYFUNCTION("""COMPUTED_VALUE"""),"*1524 SAN MARCO BLVD")</f>
        <v>*1524 SAN MARCO BLVD</v>
      </c>
      <c r="D300" s="2" t="str">
        <f ca="1">IFERROR(__xludf.DUMMYFUNCTION("""COMPUTED_VALUE"""),"JACKSONVILLE")</f>
        <v>JACKSONVILLE</v>
      </c>
      <c r="E300" s="2" t="str">
        <f ca="1">IFERROR(__xludf.DUMMYFUNCTION("""COMPUTED_VALUE"""),"FL")</f>
        <v>FL</v>
      </c>
      <c r="F300" s="4" t="str">
        <f ca="1">IFERROR(__xludf.DUMMYFUNCTION("""COMPUTED_VALUE"""),"32207")</f>
        <v>32207</v>
      </c>
      <c r="G300" s="2"/>
      <c r="H300" s="2"/>
      <c r="I300" s="2"/>
    </row>
    <row r="301" spans="1:9" ht="13" x14ac:dyDescent="0.3">
      <c r="A301" s="2" t="str">
        <f ca="1">IFERROR(__xludf.DUMMYFUNCTION("""COMPUTED_VALUE"""),"OFFICE ENVIRONMENTS - CHARLOTTE")</f>
        <v>OFFICE ENVIRONMENTS - CHARLOTTE</v>
      </c>
      <c r="B301" s="3"/>
      <c r="C301" s="2" t="str">
        <f ca="1">IFERROR(__xludf.DUMMYFUNCTION("""COMPUTED_VALUE"""),"*PO BOX 411248")</f>
        <v>*PO BOX 411248</v>
      </c>
      <c r="D301" s="2" t="str">
        <f ca="1">IFERROR(__xludf.DUMMYFUNCTION("""COMPUTED_VALUE"""),"CHARLOTTE")</f>
        <v>CHARLOTTE</v>
      </c>
      <c r="E301" s="2" t="str">
        <f ca="1">IFERROR(__xludf.DUMMYFUNCTION("""COMPUTED_VALUE"""),"NC")</f>
        <v>NC</v>
      </c>
      <c r="F301" s="4" t="str">
        <f ca="1">IFERROR(__xludf.DUMMYFUNCTION("""COMPUTED_VALUE"""),"28273")</f>
        <v>28273</v>
      </c>
      <c r="G301" s="2"/>
      <c r="H301" s="2"/>
      <c r="I301" s="2"/>
    </row>
    <row r="302" spans="1:9" ht="13" x14ac:dyDescent="0.3">
      <c r="A302" s="2" t="str">
        <f ca="1">IFERROR(__xludf.DUMMYFUNCTION("""COMPUTED_VALUE"""),"OFFICE ENVIRONMENTS INC")</f>
        <v>OFFICE ENVIRONMENTS INC</v>
      </c>
      <c r="B302" s="3"/>
      <c r="C302" s="2" t="str">
        <f ca="1">IFERROR(__xludf.DUMMYFUNCTION("""COMPUTED_VALUE"""),"*1827 1ST AVE N STE 101")</f>
        <v>*1827 1ST AVE N STE 101</v>
      </c>
      <c r="D302" s="2" t="str">
        <f ca="1">IFERROR(__xludf.DUMMYFUNCTION("""COMPUTED_VALUE"""),"BIRMINGHAM")</f>
        <v>BIRMINGHAM</v>
      </c>
      <c r="E302" s="2" t="str">
        <f ca="1">IFERROR(__xludf.DUMMYFUNCTION("""COMPUTED_VALUE"""),"AL")</f>
        <v>AL</v>
      </c>
      <c r="F302" s="4" t="str">
        <f ca="1">IFERROR(__xludf.DUMMYFUNCTION("""COMPUTED_VALUE"""),"35203")</f>
        <v>35203</v>
      </c>
      <c r="G302" s="2"/>
      <c r="H302" s="2"/>
      <c r="I302" s="2"/>
    </row>
    <row r="303" spans="1:9" ht="13" x14ac:dyDescent="0.3">
      <c r="A303" s="2" t="str">
        <f ca="1">IFERROR(__xludf.DUMMYFUNCTION("""COMPUTED_VALUE"""),"OFFICE FURNITURE HEAVEN")</f>
        <v>OFFICE FURNITURE HEAVEN</v>
      </c>
      <c r="B303" s="3"/>
      <c r="C303" s="2" t="str">
        <f ca="1">IFERROR(__xludf.DUMMYFUNCTION("""COMPUTED_VALUE"""),"*18 W 27TH ST 9TH FL")</f>
        <v>*18 W 27TH ST 9TH FL</v>
      </c>
      <c r="D303" s="2" t="str">
        <f ca="1">IFERROR(__xludf.DUMMYFUNCTION("""COMPUTED_VALUE"""),"NEW YORK")</f>
        <v>NEW YORK</v>
      </c>
      <c r="E303" s="2" t="str">
        <f ca="1">IFERROR(__xludf.DUMMYFUNCTION("""COMPUTED_VALUE"""),"NY")</f>
        <v>NY</v>
      </c>
      <c r="F303" s="4" t="str">
        <f ca="1">IFERROR(__xludf.DUMMYFUNCTION("""COMPUTED_VALUE"""),"10001")</f>
        <v>10001</v>
      </c>
      <c r="G303" s="2"/>
      <c r="H303" s="2"/>
      <c r="I303" s="2"/>
    </row>
    <row r="304" spans="1:9" ht="13" x14ac:dyDescent="0.3">
      <c r="A304" s="2" t="str">
        <f ca="1">IFERROR(__xludf.DUMMYFUNCTION("""COMPUTED_VALUE"""),"OFFICE FURNITURE INC")</f>
        <v>OFFICE FURNITURE INC</v>
      </c>
      <c r="B304" s="3"/>
      <c r="C304" s="2" t="str">
        <f ca="1">IFERROR(__xludf.DUMMYFUNCTION("""COMPUTED_VALUE"""),"*28 GARFIELD ST")</f>
        <v>*28 GARFIELD ST</v>
      </c>
      <c r="D304" s="2" t="str">
        <f ca="1">IFERROR(__xludf.DUMMYFUNCTION("""COMPUTED_VALUE"""),"NEWINGTON")</f>
        <v>NEWINGTON</v>
      </c>
      <c r="E304" s="2" t="str">
        <f ca="1">IFERROR(__xludf.DUMMYFUNCTION("""COMPUTED_VALUE"""),"CT")</f>
        <v>CT</v>
      </c>
      <c r="F304" s="4" t="str">
        <f ca="1">IFERROR(__xludf.DUMMYFUNCTION("""COMPUTED_VALUE"""),"06111")</f>
        <v>06111</v>
      </c>
      <c r="G304" s="2"/>
      <c r="H304" s="2"/>
      <c r="I304" s="2"/>
    </row>
    <row r="305" spans="1:9" ht="13" x14ac:dyDescent="0.3">
      <c r="A305" s="2" t="str">
        <f ca="1">IFERROR(__xludf.DUMMYFUNCTION("""COMPUTED_VALUE"""),"OFFICE FURNITURE OUTFITTERS LLC")</f>
        <v>OFFICE FURNITURE OUTFITTERS LLC</v>
      </c>
      <c r="B305" s="3"/>
      <c r="C305" s="2" t="str">
        <f ca="1">IFERROR(__xludf.DUMMYFUNCTION("""COMPUTED_VALUE"""),"*1727 GRAND AVE")</f>
        <v>*1727 GRAND AVE</v>
      </c>
      <c r="D305" s="2" t="str">
        <f ca="1">IFERROR(__xludf.DUMMYFUNCTION("""COMPUTED_VALUE"""),"KNOXVILLE")</f>
        <v>KNOXVILLE</v>
      </c>
      <c r="E305" s="2" t="str">
        <f ca="1">IFERROR(__xludf.DUMMYFUNCTION("""COMPUTED_VALUE"""),"TN")</f>
        <v>TN</v>
      </c>
      <c r="F305" s="4" t="str">
        <f ca="1">IFERROR(__xludf.DUMMYFUNCTION("""COMPUTED_VALUE"""),"37916")</f>
        <v>37916</v>
      </c>
      <c r="G305" s="2"/>
      <c r="H305" s="2"/>
      <c r="I305" s="2"/>
    </row>
    <row r="306" spans="1:9" ht="13" x14ac:dyDescent="0.3">
      <c r="A306" s="2" t="str">
        <f ca="1">IFERROR(__xludf.DUMMYFUNCTION("""COMPUTED_VALUE"""),"OFFICE FURNITURE WAREHOUSE-POMP BCH")</f>
        <v>OFFICE FURNITURE WAREHOUSE-POMP BCH</v>
      </c>
      <c r="B306" s="3"/>
      <c r="C306" s="2" t="str">
        <f ca="1">IFERROR(__xludf.DUMMYFUNCTION("""COMPUTED_VALUE"""),"*2099 W ATLANTIC BLVD")</f>
        <v>*2099 W ATLANTIC BLVD</v>
      </c>
      <c r="D306" s="2" t="str">
        <f ca="1">IFERROR(__xludf.DUMMYFUNCTION("""COMPUTED_VALUE"""),"POMPANO BEACH")</f>
        <v>POMPANO BEACH</v>
      </c>
      <c r="E306" s="2" t="str">
        <f ca="1">IFERROR(__xludf.DUMMYFUNCTION("""COMPUTED_VALUE"""),"FL")</f>
        <v>FL</v>
      </c>
      <c r="F306" s="4" t="str">
        <f ca="1">IFERROR(__xludf.DUMMYFUNCTION("""COMPUTED_VALUE"""),"33069")</f>
        <v>33069</v>
      </c>
      <c r="G306" s="2"/>
      <c r="H306" s="2"/>
      <c r="I306" s="2"/>
    </row>
    <row r="307" spans="1:9" ht="13" x14ac:dyDescent="0.3">
      <c r="A307" s="2" t="str">
        <f ca="1">IFERROR(__xludf.DUMMYFUNCTION("""COMPUTED_VALUE"""),"OFFICE IMAGES INC - ROSWELL")</f>
        <v>OFFICE IMAGES INC - ROSWELL</v>
      </c>
      <c r="B307" s="3"/>
      <c r="C307" s="2" t="str">
        <f ca="1">IFERROR(__xludf.DUMMYFUNCTION("""COMPUTED_VALUE"""),"*1515 HOLCOMB WOODS PKWY")</f>
        <v>*1515 HOLCOMB WOODS PKWY</v>
      </c>
      <c r="D307" s="2" t="str">
        <f ca="1">IFERROR(__xludf.DUMMYFUNCTION("""COMPUTED_VALUE"""),"ROSWELL")</f>
        <v>ROSWELL</v>
      </c>
      <c r="E307" s="2" t="str">
        <f ca="1">IFERROR(__xludf.DUMMYFUNCTION("""COMPUTED_VALUE"""),"GA")</f>
        <v>GA</v>
      </c>
      <c r="F307" s="4" t="str">
        <f ca="1">IFERROR(__xludf.DUMMYFUNCTION("""COMPUTED_VALUE"""),"30076")</f>
        <v>30076</v>
      </c>
      <c r="G307" s="2"/>
      <c r="H307" s="2"/>
      <c r="I307" s="2"/>
    </row>
    <row r="308" spans="1:9" ht="13" x14ac:dyDescent="0.3">
      <c r="A308" s="2" t="str">
        <f ca="1">IFERROR(__xludf.DUMMYFUNCTION("""COMPUTED_VALUE"""),"OFFICE INNOVATIONS-RIDGELAND")</f>
        <v>OFFICE INNOVATIONS-RIDGELAND</v>
      </c>
      <c r="B308" s="3"/>
      <c r="C308" s="2" t="str">
        <f ca="1">IFERROR(__xludf.DUMMYFUNCTION("""COMPUTED_VALUE"""),"*834 WILSON DR STE C-2")</f>
        <v>*834 WILSON DR STE C-2</v>
      </c>
      <c r="D308" s="2" t="str">
        <f ca="1">IFERROR(__xludf.DUMMYFUNCTION("""COMPUTED_VALUE"""),"RIDGELAND")</f>
        <v>RIDGELAND</v>
      </c>
      <c r="E308" s="2" t="str">
        <f ca="1">IFERROR(__xludf.DUMMYFUNCTION("""COMPUTED_VALUE"""),"MS")</f>
        <v>MS</v>
      </c>
      <c r="F308" s="4" t="str">
        <f ca="1">IFERROR(__xludf.DUMMYFUNCTION("""COMPUTED_VALUE"""),"39157")</f>
        <v>39157</v>
      </c>
      <c r="G308" s="2"/>
      <c r="H308" s="2"/>
      <c r="I308" s="2"/>
    </row>
    <row r="309" spans="1:9" ht="13" x14ac:dyDescent="0.3">
      <c r="A309" s="2" t="str">
        <f ca="1">IFERROR(__xludf.DUMMYFUNCTION("""COMPUTED_VALUE"""),"OFFICE INTERIORS &amp; DESIGN")</f>
        <v>OFFICE INTERIORS &amp; DESIGN</v>
      </c>
      <c r="B309" s="3"/>
      <c r="C309" s="2" t="str">
        <f ca="1">IFERROR(__xludf.DUMMYFUNCTION("""COMPUTED_VALUE"""),"*121 CHERRY HILL BLVD")</f>
        <v>*121 CHERRY HILL BLVD</v>
      </c>
      <c r="D309" s="2" t="str">
        <f ca="1">IFERROR(__xludf.DUMMYFUNCTION("""COMPUTED_VALUE"""),"LINCOLN")</f>
        <v>LINCOLN</v>
      </c>
      <c r="E309" s="2" t="str">
        <f ca="1">IFERROR(__xludf.DUMMYFUNCTION("""COMPUTED_VALUE"""),"NE")</f>
        <v>NE</v>
      </c>
      <c r="F309" s="4" t="str">
        <f ca="1">IFERROR(__xludf.DUMMYFUNCTION("""COMPUTED_VALUE"""),"68510")</f>
        <v>68510</v>
      </c>
      <c r="G309" s="2"/>
      <c r="H309" s="2"/>
      <c r="I309" s="2"/>
    </row>
    <row r="310" spans="1:9" ht="13" x14ac:dyDescent="0.3">
      <c r="A310" s="2" t="str">
        <f ca="1">IFERROR(__xludf.DUMMYFUNCTION("""COMPUTED_VALUE"""),"OFFICE INTERIORS - IN")</f>
        <v>OFFICE INTERIORS - IN</v>
      </c>
      <c r="B310" s="3"/>
      <c r="C310" s="2" t="str">
        <f ca="1">IFERROR(__xludf.DUMMYFUNCTION("""COMPUTED_VALUE"""),"*1415 UNIVERSITY DR CT")</f>
        <v>*1415 UNIVERSITY DR CT</v>
      </c>
      <c r="D310" s="2" t="str">
        <f ca="1">IFERROR(__xludf.DUMMYFUNCTION("""COMPUTED_VALUE"""),"GRANGER")</f>
        <v>GRANGER</v>
      </c>
      <c r="E310" s="2" t="str">
        <f ca="1">IFERROR(__xludf.DUMMYFUNCTION("""COMPUTED_VALUE"""),"IN")</f>
        <v>IN</v>
      </c>
      <c r="F310" s="4" t="str">
        <f ca="1">IFERROR(__xludf.DUMMYFUNCTION("""COMPUTED_VALUE"""),"46530")</f>
        <v>46530</v>
      </c>
      <c r="G310" s="2"/>
      <c r="H310" s="2"/>
      <c r="I310" s="2"/>
    </row>
    <row r="311" spans="1:9" ht="13" x14ac:dyDescent="0.3">
      <c r="A311" s="2" t="str">
        <f ca="1">IFERROR(__xludf.DUMMYFUNCTION("""COMPUTED_VALUE"""),"OFFICE INTERIORS LIMITED")</f>
        <v>OFFICE INTERIORS LIMITED</v>
      </c>
      <c r="B311" s="3"/>
      <c r="C311" s="2" t="str">
        <f ca="1">IFERROR(__xludf.DUMMYFUNCTION("""COMPUTED_VALUE"""),"*85 WASHINGTON ST")</f>
        <v>*85 WASHINGTON ST</v>
      </c>
      <c r="D311" s="2" t="str">
        <f ca="1">IFERROR(__xludf.DUMMYFUNCTION("""COMPUTED_VALUE"""),"DOVER")</f>
        <v>DOVER</v>
      </c>
      <c r="E311" s="2" t="str">
        <f ca="1">IFERROR(__xludf.DUMMYFUNCTION("""COMPUTED_VALUE"""),"NH")</f>
        <v>NH</v>
      </c>
      <c r="F311" s="4" t="str">
        <f ca="1">IFERROR(__xludf.DUMMYFUNCTION("""COMPUTED_VALUE"""),"03820")</f>
        <v>03820</v>
      </c>
      <c r="G311" s="2"/>
      <c r="H311" s="2"/>
      <c r="I311" s="2"/>
    </row>
    <row r="312" spans="1:9" ht="13" x14ac:dyDescent="0.3">
      <c r="A312" s="2" t="str">
        <f ca="1">IFERROR(__xludf.DUMMYFUNCTION("""COMPUTED_VALUE"""),"OFFICE OUTFITTERS &amp; PLANNERS INC")</f>
        <v>OFFICE OUTFITTERS &amp; PLANNERS INC</v>
      </c>
      <c r="B312" s="3"/>
      <c r="C312" s="2" t="str">
        <f ca="1">IFERROR(__xludf.DUMMYFUNCTION("""COMPUTED_VALUE"""),"*749 MAIN ST")</f>
        <v>*749 MAIN ST</v>
      </c>
      <c r="D312" s="2" t="str">
        <f ca="1">IFERROR(__xludf.DUMMYFUNCTION("""COMPUTED_VALUE"""),"GRAND JUNCTION")</f>
        <v>GRAND JUNCTION</v>
      </c>
      <c r="E312" s="2" t="str">
        <f ca="1">IFERROR(__xludf.DUMMYFUNCTION("""COMPUTED_VALUE"""),"CO")</f>
        <v>CO</v>
      </c>
      <c r="F312" s="4" t="str">
        <f ca="1">IFERROR(__xludf.DUMMYFUNCTION("""COMPUTED_VALUE"""),"81501")</f>
        <v>81501</v>
      </c>
      <c r="G312" s="2"/>
      <c r="H312" s="2"/>
      <c r="I312" s="2"/>
    </row>
    <row r="313" spans="1:9" ht="13" x14ac:dyDescent="0.3">
      <c r="A313" s="2" t="str">
        <f ca="1">IFERROR(__xludf.DUMMYFUNCTION("""COMPUTED_VALUE"""),"OFFICE PRODUCTS NW/OFFICE INT CONCEPTS")</f>
        <v>OFFICE PRODUCTS NW/OFFICE INT CONCEPTS</v>
      </c>
      <c r="B313" s="3"/>
      <c r="C313" s="2" t="str">
        <f ca="1">IFERROR(__xludf.DUMMYFUNCTION("""COMPUTED_VALUE"""),"*12600 SW 68TH AVE")</f>
        <v>*12600 SW 68TH AVE</v>
      </c>
      <c r="D313" s="2" t="str">
        <f ca="1">IFERROR(__xludf.DUMMYFUNCTION("""COMPUTED_VALUE"""),"PORTLAND")</f>
        <v>PORTLAND</v>
      </c>
      <c r="E313" s="2" t="str">
        <f ca="1">IFERROR(__xludf.DUMMYFUNCTION("""COMPUTED_VALUE"""),"OR")</f>
        <v>OR</v>
      </c>
      <c r="F313" s="4" t="str">
        <f ca="1">IFERROR(__xludf.DUMMYFUNCTION("""COMPUTED_VALUE"""),"97223")</f>
        <v>97223</v>
      </c>
      <c r="G313" s="2"/>
      <c r="H313" s="2"/>
      <c r="I313" s="2"/>
    </row>
    <row r="314" spans="1:9" ht="13" x14ac:dyDescent="0.3">
      <c r="A314" s="2" t="str">
        <f ca="1">IFERROR(__xludf.DUMMYFUNCTION("""COMPUTED_VALUE"""),"OFFICE RESOURCES-MA")</f>
        <v>OFFICE RESOURCES-MA</v>
      </c>
      <c r="B314" s="3"/>
      <c r="C314" s="2" t="str">
        <f ca="1">IFERROR(__xludf.DUMMYFUNCTION("""COMPUTED_VALUE"""),"*263 SUMMER ST")</f>
        <v>*263 SUMMER ST</v>
      </c>
      <c r="D314" s="2" t="str">
        <f ca="1">IFERROR(__xludf.DUMMYFUNCTION("""COMPUTED_VALUE"""),"BOSTON")</f>
        <v>BOSTON</v>
      </c>
      <c r="E314" s="2" t="str">
        <f ca="1">IFERROR(__xludf.DUMMYFUNCTION("""COMPUTED_VALUE"""),"MA")</f>
        <v>MA</v>
      </c>
      <c r="F314" s="4" t="str">
        <f ca="1">IFERROR(__xludf.DUMMYFUNCTION("""COMPUTED_VALUE"""),"02210")</f>
        <v>02210</v>
      </c>
      <c r="G314" s="2"/>
      <c r="H314" s="2"/>
      <c r="I314" s="2"/>
    </row>
    <row r="315" spans="1:9" ht="13" x14ac:dyDescent="0.3">
      <c r="A315" s="2" t="str">
        <f ca="1">IFERROR(__xludf.DUMMYFUNCTION("""COMPUTED_VALUE"""),"OFFICE SEKKEI AMERICA INC-IL")</f>
        <v>OFFICE SEKKEI AMERICA INC-IL</v>
      </c>
      <c r="B315" s="3"/>
      <c r="C315" s="2" t="str">
        <f ca="1">IFERROR(__xludf.DUMMYFUNCTION("""COMPUTED_VALUE"""),"*2775 ALGONQUIN RD #260")</f>
        <v>*2775 ALGONQUIN RD #260</v>
      </c>
      <c r="D315" s="2" t="str">
        <f ca="1">IFERROR(__xludf.DUMMYFUNCTION("""COMPUTED_VALUE"""),"ROLLING MEADOWS")</f>
        <v>ROLLING MEADOWS</v>
      </c>
      <c r="E315" s="2" t="str">
        <f ca="1">IFERROR(__xludf.DUMMYFUNCTION("""COMPUTED_VALUE"""),"IL")</f>
        <v>IL</v>
      </c>
      <c r="F315" s="4" t="str">
        <f ca="1">IFERROR(__xludf.DUMMYFUNCTION("""COMPUTED_VALUE"""),"60008")</f>
        <v>60008</v>
      </c>
      <c r="G315" s="2"/>
      <c r="H315" s="2"/>
      <c r="I315" s="2"/>
    </row>
    <row r="316" spans="1:9" ht="39" x14ac:dyDescent="0.3">
      <c r="A316" s="2" t="str">
        <f ca="1">IFERROR(__xludf.DUMMYFUNCTION("""COMPUTED_VALUE"""),"OFFICE SOLUTIONS-CA")</f>
        <v>OFFICE SOLUTIONS-CA</v>
      </c>
      <c r="B316" s="3" t="str">
        <f ca="1">IFERROR(__xludf.DUMMYFUNCTION("""COMPUTED_VALUE"""),"woman owned/minority business")</f>
        <v>woman owned/minority business</v>
      </c>
      <c r="C316" s="2" t="str">
        <f ca="1">IFERROR(__xludf.DUMMYFUNCTION("""COMPUTED_VALUE"""),"*23303 LA PALMA AVE")</f>
        <v>*23303 LA PALMA AVE</v>
      </c>
      <c r="D316" s="2" t="str">
        <f ca="1">IFERROR(__xludf.DUMMYFUNCTION("""COMPUTED_VALUE"""),"YORBA LINDA")</f>
        <v>YORBA LINDA</v>
      </c>
      <c r="E316" s="2" t="str">
        <f ca="1">IFERROR(__xludf.DUMMYFUNCTION("""COMPUTED_VALUE"""),"CA")</f>
        <v>CA</v>
      </c>
      <c r="F316" s="4" t="str">
        <f ca="1">IFERROR(__xludf.DUMMYFUNCTION("""COMPUTED_VALUE"""),"92887")</f>
        <v>92887</v>
      </c>
      <c r="G316" s="2"/>
      <c r="H316" s="2"/>
      <c r="I316" s="2"/>
    </row>
    <row r="317" spans="1:9" ht="13" x14ac:dyDescent="0.3">
      <c r="A317" s="2" t="str">
        <f ca="1">IFERROR(__xludf.DUMMYFUNCTION("""COMPUTED_VALUE"""),"OFFICE SPECIALISTS")</f>
        <v>OFFICE SPECIALISTS</v>
      </c>
      <c r="B317" s="3"/>
      <c r="C317" s="2" t="str">
        <f ca="1">IFERROR(__xludf.DUMMYFUNCTION("""COMPUTED_VALUE"""),"*4631 44TH ST")</f>
        <v>*4631 44TH ST</v>
      </c>
      <c r="D317" s="2" t="str">
        <f ca="1">IFERROR(__xludf.DUMMYFUNCTION("""COMPUTED_VALUE"""),"MOLINE")</f>
        <v>MOLINE</v>
      </c>
      <c r="E317" s="2" t="str">
        <f ca="1">IFERROR(__xludf.DUMMYFUNCTION("""COMPUTED_VALUE"""),"IL")</f>
        <v>IL</v>
      </c>
      <c r="F317" s="4" t="str">
        <f ca="1">IFERROR(__xludf.DUMMYFUNCTION("""COMPUTED_VALUE"""),"61265")</f>
        <v>61265</v>
      </c>
      <c r="G317" s="2"/>
      <c r="H317" s="2"/>
      <c r="I317" s="2"/>
    </row>
    <row r="318" spans="1:9" ht="13" x14ac:dyDescent="0.3">
      <c r="A318" s="2" t="str">
        <f ca="1">IFERROR(__xludf.DUMMYFUNCTION("""COMPUTED_VALUE"""),"OFFICE WORLD INC")</f>
        <v>OFFICE WORLD INC</v>
      </c>
      <c r="B318" s="3"/>
      <c r="C318" s="2" t="str">
        <f ca="1">IFERROR(__xludf.DUMMYFUNCTION("""COMPUTED_VALUE"""),"*115 CLEVELAND ST")</f>
        <v>*115 CLEVELAND ST</v>
      </c>
      <c r="D318" s="2" t="str">
        <f ca="1">IFERROR(__xludf.DUMMYFUNCTION("""COMPUTED_VALUE"""),"EUGENE")</f>
        <v>EUGENE</v>
      </c>
      <c r="E318" s="2" t="str">
        <f ca="1">IFERROR(__xludf.DUMMYFUNCTION("""COMPUTED_VALUE"""),"OR")</f>
        <v>OR</v>
      </c>
      <c r="F318" s="4" t="str">
        <f ca="1">IFERROR(__xludf.DUMMYFUNCTION("""COMPUTED_VALUE"""),"97402")</f>
        <v>97402</v>
      </c>
      <c r="G318" s="2"/>
      <c r="H318" s="2"/>
      <c r="I318" s="2"/>
    </row>
    <row r="319" spans="1:9" ht="13" x14ac:dyDescent="0.3">
      <c r="A319" s="2" t="str">
        <f ca="1">IFERROR(__xludf.DUMMYFUNCTION("""COMPUTED_VALUE"""),"OFFICESCAPES INC-TN")</f>
        <v>OFFICESCAPES INC-TN</v>
      </c>
      <c r="B319" s="3"/>
      <c r="C319" s="2" t="str">
        <f ca="1">IFERROR(__xludf.DUMMYFUNCTION("""COMPUTED_VALUE"""),"*8390 WOLF LAKE DR STE 101")</f>
        <v>*8390 WOLF LAKE DR STE 101</v>
      </c>
      <c r="D319" s="2" t="str">
        <f ca="1">IFERROR(__xludf.DUMMYFUNCTION("""COMPUTED_VALUE"""),"BARTLETT")</f>
        <v>BARTLETT</v>
      </c>
      <c r="E319" s="2" t="str">
        <f ca="1">IFERROR(__xludf.DUMMYFUNCTION("""COMPUTED_VALUE"""),"TN")</f>
        <v>TN</v>
      </c>
      <c r="F319" s="4" t="str">
        <f ca="1">IFERROR(__xludf.DUMMYFUNCTION("""COMPUTED_VALUE"""),"38133")</f>
        <v>38133</v>
      </c>
      <c r="G319" s="2"/>
      <c r="H319" s="2"/>
      <c r="I319" s="2"/>
    </row>
    <row r="320" spans="1:9" ht="13" x14ac:dyDescent="0.3">
      <c r="A320" s="2" t="str">
        <f ca="1">IFERROR(__xludf.DUMMYFUNCTION("""COMPUTED_VALUE"""),"OFFICESOURCE LTD")</f>
        <v>OFFICESOURCE LTD</v>
      </c>
      <c r="B320" s="3" t="str">
        <f ca="1">IFERROR(__xludf.DUMMYFUNCTION("""COMPUTED_VALUE"""),"s/w")</f>
        <v>s/w</v>
      </c>
      <c r="C320" s="2" t="str">
        <f ca="1">IFERROR(__xludf.DUMMYFUNCTION("""COMPUTED_VALUE"""),"*1133 BROADWAY ST")</f>
        <v>*1133 BROADWAY ST</v>
      </c>
      <c r="D320" s="2" t="str">
        <f ca="1">IFERROR(__xludf.DUMMYFUNCTION("""COMPUTED_VALUE"""),"SAN ANTONIO")</f>
        <v>SAN ANTONIO</v>
      </c>
      <c r="E320" s="2" t="str">
        <f ca="1">IFERROR(__xludf.DUMMYFUNCTION("""COMPUTED_VALUE"""),"TX")</f>
        <v>TX</v>
      </c>
      <c r="F320" s="4" t="str">
        <f ca="1">IFERROR(__xludf.DUMMYFUNCTION("""COMPUTED_VALUE"""),"78215")</f>
        <v>78215</v>
      </c>
      <c r="G320" s="2"/>
      <c r="H320" s="2"/>
      <c r="I320" s="2"/>
    </row>
    <row r="321" spans="1:9" ht="13" x14ac:dyDescent="0.3">
      <c r="A321" s="2" t="str">
        <f ca="1">IFERROR(__xludf.DUMMYFUNCTION("""COMPUTED_VALUE"""),"OFFICEVOLUTION LLC")</f>
        <v>OFFICEVOLUTION LLC</v>
      </c>
      <c r="B321" s="3"/>
      <c r="C321" s="2" t="str">
        <f ca="1">IFERROR(__xludf.DUMMYFUNCTION("""COMPUTED_VALUE"""),"*108 EVERGREEN WAY")</f>
        <v>*108 EVERGREEN WAY</v>
      </c>
      <c r="D321" s="2" t="str">
        <f ca="1">IFERROR(__xludf.DUMMYFUNCTION("""COMPUTED_VALUE"""),"WILLIAMSBURG")</f>
        <v>WILLIAMSBURG</v>
      </c>
      <c r="E321" s="2" t="str">
        <f ca="1">IFERROR(__xludf.DUMMYFUNCTION("""COMPUTED_VALUE"""),"VA")</f>
        <v>VA</v>
      </c>
      <c r="F321" s="4" t="str">
        <f ca="1">IFERROR(__xludf.DUMMYFUNCTION("""COMPUTED_VALUE"""),"23185")</f>
        <v>23185</v>
      </c>
      <c r="G321" s="2"/>
      <c r="H321" s="2"/>
      <c r="I321" s="2"/>
    </row>
    <row r="322" spans="1:9" ht="13" x14ac:dyDescent="0.3">
      <c r="A322" s="2" t="str">
        <f ca="1">IFERROR(__xludf.DUMMYFUNCTION("""COMPUTED_VALUE"""),"OFFICEWISE FURNITURE &amp; SUPPLY")</f>
        <v>OFFICEWISE FURNITURE &amp; SUPPLY</v>
      </c>
      <c r="B322" s="3"/>
      <c r="C322" s="2" t="str">
        <f ca="1">IFERROR(__xludf.DUMMYFUNCTION("""COMPUTED_VALUE"""),"*PO BOX 2688")</f>
        <v>*PO BOX 2688</v>
      </c>
      <c r="D322" s="2" t="str">
        <f ca="1">IFERROR(__xludf.DUMMYFUNCTION("""COMPUTED_VALUE"""),"AMARILLO")</f>
        <v>AMARILLO</v>
      </c>
      <c r="E322" s="2" t="str">
        <f ca="1">IFERROR(__xludf.DUMMYFUNCTION("""COMPUTED_VALUE"""),"TX")</f>
        <v>TX</v>
      </c>
      <c r="F322" s="4" t="str">
        <f ca="1">IFERROR(__xludf.DUMMYFUNCTION("""COMPUTED_VALUE"""),"79105")</f>
        <v>79105</v>
      </c>
      <c r="G322" s="2"/>
      <c r="H322" s="2"/>
      <c r="I322" s="2"/>
    </row>
    <row r="323" spans="1:9" ht="13" x14ac:dyDescent="0.3">
      <c r="A323" s="2" t="str">
        <f ca="1">IFERROR(__xludf.DUMMYFUNCTION("""COMPUTED_VALUE"""),"OFFICEWORKS-FISHERS")</f>
        <v>OFFICEWORKS-FISHERS</v>
      </c>
      <c r="B323" s="3"/>
      <c r="C323" s="2" t="str">
        <f ca="1">IFERROR(__xludf.DUMMYFUNCTION("""COMPUTED_VALUE"""),"*12000 EXIT 5 PKWY")</f>
        <v>*12000 EXIT 5 PKWY</v>
      </c>
      <c r="D323" s="2" t="str">
        <f ca="1">IFERROR(__xludf.DUMMYFUNCTION("""COMPUTED_VALUE"""),"FISHERS")</f>
        <v>FISHERS</v>
      </c>
      <c r="E323" s="2" t="str">
        <f ca="1">IFERROR(__xludf.DUMMYFUNCTION("""COMPUTED_VALUE"""),"IN")</f>
        <v>IN</v>
      </c>
      <c r="F323" s="4" t="str">
        <f ca="1">IFERROR(__xludf.DUMMYFUNCTION("""COMPUTED_VALUE"""),"46037")</f>
        <v>46037</v>
      </c>
      <c r="G323" s="2"/>
      <c r="H323" s="2"/>
      <c r="I323" s="2"/>
    </row>
    <row r="324" spans="1:9" ht="13" x14ac:dyDescent="0.3">
      <c r="A324" s="2" t="str">
        <f ca="1">IFERROR(__xludf.DUMMYFUNCTION("""COMPUTED_VALUE"""),"ONE ELEVEN DESIGN")</f>
        <v>ONE ELEVEN DESIGN</v>
      </c>
      <c r="B324" s="3"/>
      <c r="C324" s="2" t="str">
        <f ca="1">IFERROR(__xludf.DUMMYFUNCTION("""COMPUTED_VALUE"""),"*203 E BERRY ST STE 704")</f>
        <v>*203 E BERRY ST STE 704</v>
      </c>
      <c r="D324" s="2" t="str">
        <f ca="1">IFERROR(__xludf.DUMMYFUNCTION("""COMPUTED_VALUE"""),"FORT WAYNE")</f>
        <v>FORT WAYNE</v>
      </c>
      <c r="E324" s="2" t="str">
        <f ca="1">IFERROR(__xludf.DUMMYFUNCTION("""COMPUTED_VALUE"""),"IN")</f>
        <v>IN</v>
      </c>
      <c r="F324" s="4" t="str">
        <f ca="1">IFERROR(__xludf.DUMMYFUNCTION("""COMPUTED_VALUE"""),"46802")</f>
        <v>46802</v>
      </c>
      <c r="G324" s="2"/>
      <c r="H324" s="2"/>
      <c r="I324" s="2"/>
    </row>
    <row r="325" spans="1:9" ht="13" x14ac:dyDescent="0.3">
      <c r="A325" s="2" t="str">
        <f ca="1">IFERROR(__xludf.DUMMYFUNCTION("""COMPUTED_VALUE"""),"ONE POINT DBA CORP ENV")</f>
        <v>ONE POINT DBA CORP ENV</v>
      </c>
      <c r="B325" s="3"/>
      <c r="C325" s="2" t="str">
        <f ca="1">IFERROR(__xludf.DUMMYFUNCTION("""COMPUTED_VALUE"""),"*605 E BROAD ST")</f>
        <v>*605 E BROAD ST</v>
      </c>
      <c r="D325" s="2" t="str">
        <f ca="1">IFERROR(__xludf.DUMMYFUNCTION("""COMPUTED_VALUE"""),"BETHLEHEM")</f>
        <v>BETHLEHEM</v>
      </c>
      <c r="E325" s="2" t="str">
        <f ca="1">IFERROR(__xludf.DUMMYFUNCTION("""COMPUTED_VALUE"""),"PA")</f>
        <v>PA</v>
      </c>
      <c r="F325" s="4" t="str">
        <f ca="1">IFERROR(__xludf.DUMMYFUNCTION("""COMPUTED_VALUE"""),"18018")</f>
        <v>18018</v>
      </c>
      <c r="G325" s="2"/>
      <c r="H325" s="2"/>
      <c r="I325" s="2"/>
    </row>
    <row r="326" spans="1:9" ht="13" x14ac:dyDescent="0.3">
      <c r="A326" s="2" t="str">
        <f ca="1">IFERROR(__xludf.DUMMYFUNCTION("""COMPUTED_VALUE"""),"ONE WORKPLACE LLC")</f>
        <v>ONE WORKPLACE LLC</v>
      </c>
      <c r="B326" s="3" t="str">
        <f ca="1">IFERROR(__xludf.DUMMYFUNCTION("""COMPUTED_VALUE"""),"s")</f>
        <v>s</v>
      </c>
      <c r="C326" s="2" t="str">
        <f ca="1">IFERROR(__xludf.DUMMYFUNCTION("""COMPUTED_VALUE"""),"*2500 DE LA CRUZ")</f>
        <v>*2500 DE LA CRUZ</v>
      </c>
      <c r="D326" s="2" t="str">
        <f ca="1">IFERROR(__xludf.DUMMYFUNCTION("""COMPUTED_VALUE"""),"SANTA CLARA")</f>
        <v>SANTA CLARA</v>
      </c>
      <c r="E326" s="2" t="str">
        <f ca="1">IFERROR(__xludf.DUMMYFUNCTION("""COMPUTED_VALUE"""),"CA")</f>
        <v>CA</v>
      </c>
      <c r="F326" s="4" t="str">
        <f ca="1">IFERROR(__xludf.DUMMYFUNCTION("""COMPUTED_VALUE"""),"95050")</f>
        <v>95050</v>
      </c>
      <c r="G326" s="2"/>
      <c r="H326" s="2"/>
      <c r="I326" s="2"/>
    </row>
    <row r="327" spans="1:9" ht="13" x14ac:dyDescent="0.3">
      <c r="A327" s="2" t="str">
        <f ca="1">IFERROR(__xludf.DUMMYFUNCTION("""COMPUTED_VALUE"""),"ONESOURCE OFFICE INTERIORS INC")</f>
        <v>ONESOURCE OFFICE INTERIORS INC</v>
      </c>
      <c r="B327" s="3"/>
      <c r="C327" s="2" t="str">
        <f ca="1">IFERROR(__xludf.DUMMYFUNCTION("""COMPUTED_VALUE"""),"*2950 NW YEON AVE")</f>
        <v>*2950 NW YEON AVE</v>
      </c>
      <c r="D327" s="2" t="str">
        <f ca="1">IFERROR(__xludf.DUMMYFUNCTION("""COMPUTED_VALUE"""),"PORTLAND")</f>
        <v>PORTLAND</v>
      </c>
      <c r="E327" s="2" t="str">
        <f ca="1">IFERROR(__xludf.DUMMYFUNCTION("""COMPUTED_VALUE"""),"OR")</f>
        <v>OR</v>
      </c>
      <c r="F327" s="4" t="str">
        <f ca="1">IFERROR(__xludf.DUMMYFUNCTION("""COMPUTED_VALUE"""),"97210")</f>
        <v>97210</v>
      </c>
      <c r="G327" s="2"/>
      <c r="H327" s="2"/>
      <c r="I327" s="2"/>
    </row>
    <row r="328" spans="1:9" ht="13" x14ac:dyDescent="0.3">
      <c r="A328" s="2" t="str">
        <f ca="1">IFERROR(__xludf.DUMMYFUNCTION("""COMPUTED_VALUE"""),"OPENSQUARE")</f>
        <v>OPENSQUARE</v>
      </c>
      <c r="B328" s="3"/>
      <c r="C328" s="2" t="str">
        <f ca="1">IFERROR(__xludf.DUMMYFUNCTION("""COMPUTED_VALUE"""),"*5601 6TH AVE S STE 470")</f>
        <v>*5601 6TH AVE S STE 470</v>
      </c>
      <c r="D328" s="2" t="str">
        <f ca="1">IFERROR(__xludf.DUMMYFUNCTION("""COMPUTED_VALUE"""),"SEATTLE")</f>
        <v>SEATTLE</v>
      </c>
      <c r="E328" s="2" t="str">
        <f ca="1">IFERROR(__xludf.DUMMYFUNCTION("""COMPUTED_VALUE"""),"WA")</f>
        <v>WA</v>
      </c>
      <c r="F328" s="4" t="str">
        <f ca="1">IFERROR(__xludf.DUMMYFUNCTION("""COMPUTED_VALUE"""),"98108")</f>
        <v>98108</v>
      </c>
      <c r="G328" s="2"/>
      <c r="H328" s="2"/>
      <c r="I328" s="2"/>
    </row>
    <row r="329" spans="1:9" ht="13" x14ac:dyDescent="0.3">
      <c r="A329" s="2" t="str">
        <f ca="1">IFERROR(__xludf.DUMMYFUNCTION("""COMPUTED_VALUE"""),"P E M CO EDUCATIONAL FURN &amp; EQUIP INC")</f>
        <v>P E M CO EDUCATIONAL FURN &amp; EQUIP INC</v>
      </c>
      <c r="B329" s="3"/>
      <c r="C329" s="2" t="str">
        <f ca="1">IFERROR(__xludf.DUMMYFUNCTION("""COMPUTED_VALUE"""),"*5335 PROGRESS BLVD")</f>
        <v>*5335 PROGRESS BLVD</v>
      </c>
      <c r="D329" s="2" t="str">
        <f ca="1">IFERROR(__xludf.DUMMYFUNCTION("""COMPUTED_VALUE"""),"BETHEL PARK")</f>
        <v>BETHEL PARK</v>
      </c>
      <c r="E329" s="2" t="str">
        <f ca="1">IFERROR(__xludf.DUMMYFUNCTION("""COMPUTED_VALUE"""),"PA")</f>
        <v>PA</v>
      </c>
      <c r="F329" s="4" t="str">
        <f ca="1">IFERROR(__xludf.DUMMYFUNCTION("""COMPUTED_VALUE"""),"15102")</f>
        <v>15102</v>
      </c>
      <c r="G329" s="2"/>
      <c r="H329" s="2"/>
      <c r="I329" s="2"/>
    </row>
    <row r="330" spans="1:9" ht="13" x14ac:dyDescent="0.3">
      <c r="A330" s="2" t="str">
        <f ca="1">IFERROR(__xludf.DUMMYFUNCTION("""COMPUTED_VALUE"""),"PACIFIC OFFICE INTERIORS")</f>
        <v>PACIFIC OFFICE INTERIORS</v>
      </c>
      <c r="B330" s="3"/>
      <c r="C330" s="2" t="str">
        <f ca="1">IFERROR(__xludf.DUMMYFUNCTION("""COMPUTED_VALUE"""),"*5304 DERRY AVE STE U")</f>
        <v>*5304 DERRY AVE STE U</v>
      </c>
      <c r="D330" s="2" t="str">
        <f ca="1">IFERROR(__xludf.DUMMYFUNCTION("""COMPUTED_VALUE"""),"AGOURA HILLS")</f>
        <v>AGOURA HILLS</v>
      </c>
      <c r="E330" s="2" t="str">
        <f ca="1">IFERROR(__xludf.DUMMYFUNCTION("""COMPUTED_VALUE"""),"CA")</f>
        <v>CA</v>
      </c>
      <c r="F330" s="4" t="str">
        <f ca="1">IFERROR(__xludf.DUMMYFUNCTION("""COMPUTED_VALUE"""),"91301")</f>
        <v>91301</v>
      </c>
      <c r="G330" s="2"/>
      <c r="H330" s="2"/>
      <c r="I330" s="2"/>
    </row>
    <row r="331" spans="1:9" ht="13" x14ac:dyDescent="0.3">
      <c r="A331" s="2" t="str">
        <f ca="1">IFERROR(__xludf.DUMMYFUNCTION("""COMPUTED_VALUE"""),"PACIFICWRO")</f>
        <v>PACIFICWRO</v>
      </c>
      <c r="B331" s="3"/>
      <c r="C331" s="2" t="str">
        <f ca="1">IFERROR(__xludf.DUMMYFUNCTION("""COMPUTED_VALUE"""),"*825 NE MULTNOMAH ST STE 270")</f>
        <v>*825 NE MULTNOMAH ST STE 270</v>
      </c>
      <c r="D331" s="2" t="str">
        <f ca="1">IFERROR(__xludf.DUMMYFUNCTION("""COMPUTED_VALUE"""),"PORTLAND")</f>
        <v>PORTLAND</v>
      </c>
      <c r="E331" s="2" t="str">
        <f ca="1">IFERROR(__xludf.DUMMYFUNCTION("""COMPUTED_VALUE"""),"OR")</f>
        <v>OR</v>
      </c>
      <c r="F331" s="4" t="str">
        <f ca="1">IFERROR(__xludf.DUMMYFUNCTION("""COMPUTED_VALUE"""),"97232")</f>
        <v>97232</v>
      </c>
      <c r="G331" s="2"/>
      <c r="H331" s="2"/>
      <c r="I331" s="2"/>
    </row>
    <row r="332" spans="1:9" ht="13" x14ac:dyDescent="0.3">
      <c r="A332" s="2" t="str">
        <f ca="1">IFERROR(__xludf.DUMMYFUNCTION("""COMPUTED_VALUE"""),"PARAGON COMMERCIAL INTERIORS")</f>
        <v>PARAGON COMMERCIAL INTERIORS</v>
      </c>
      <c r="B332" s="3"/>
      <c r="C332" s="2" t="str">
        <f ca="1">IFERROR(__xludf.DUMMYFUNCTION("""COMPUTED_VALUE"""),"*210 EMERSON PL STE 300")</f>
        <v>*210 EMERSON PL STE 300</v>
      </c>
      <c r="D332" s="2" t="str">
        <f ca="1">IFERROR(__xludf.DUMMYFUNCTION("""COMPUTED_VALUE"""),"DAVENPORT")</f>
        <v>DAVENPORT</v>
      </c>
      <c r="E332" s="2" t="str">
        <f ca="1">IFERROR(__xludf.DUMMYFUNCTION("""COMPUTED_VALUE"""),"IA")</f>
        <v>IA</v>
      </c>
      <c r="F332" s="4" t="str">
        <f ca="1">IFERROR(__xludf.DUMMYFUNCTION("""COMPUTED_VALUE"""),"52801")</f>
        <v>52801</v>
      </c>
      <c r="G332" s="2"/>
      <c r="H332" s="2"/>
      <c r="I332" s="2"/>
    </row>
    <row r="333" spans="1:9" ht="13" x14ac:dyDescent="0.3">
      <c r="A333" s="2" t="str">
        <f ca="1">IFERROR(__xludf.DUMMYFUNCTION("""COMPUTED_VALUE"""),"PARAMETERS LTD")</f>
        <v>PARAMETERS LTD</v>
      </c>
      <c r="B333" s="3"/>
      <c r="C333" s="2" t="str">
        <f ca="1">IFERROR(__xludf.DUMMYFUNCTION("""COMPUTED_VALUE"""),"*705 MARQUETTE AVE S STE 1000")</f>
        <v>*705 MARQUETTE AVE S STE 1000</v>
      </c>
      <c r="D333" s="2" t="str">
        <f ca="1">IFERROR(__xludf.DUMMYFUNCTION("""COMPUTED_VALUE"""),"MINNEAPOLIS")</f>
        <v>MINNEAPOLIS</v>
      </c>
      <c r="E333" s="2" t="str">
        <f ca="1">IFERROR(__xludf.DUMMYFUNCTION("""COMPUTED_VALUE"""),"MN")</f>
        <v>MN</v>
      </c>
      <c r="F333" s="4" t="str">
        <f ca="1">IFERROR(__xludf.DUMMYFUNCTION("""COMPUTED_VALUE"""),"55403")</f>
        <v>55403</v>
      </c>
      <c r="G333" s="2"/>
      <c r="H333" s="2"/>
      <c r="I333" s="2"/>
    </row>
    <row r="334" spans="1:9" ht="13" x14ac:dyDescent="0.3">
      <c r="A334" s="2" t="str">
        <f ca="1">IFERROR(__xludf.DUMMYFUNCTION("""COMPUTED_VALUE"""),"PARRON HALL OFFICE INTERIORS")</f>
        <v>PARRON HALL OFFICE INTERIORS</v>
      </c>
      <c r="B334" s="3" t="str">
        <f ca="1">IFERROR(__xludf.DUMMYFUNCTION("""COMPUTED_VALUE"""),"s")</f>
        <v>s</v>
      </c>
      <c r="C334" s="2" t="str">
        <f ca="1">IFERROR(__xludf.DUMMYFUNCTION("""COMPUTED_VALUE"""),"*9655 GRANITE RIDGE DR STE 100")</f>
        <v>*9655 GRANITE RIDGE DR STE 100</v>
      </c>
      <c r="D334" s="2" t="str">
        <f ca="1">IFERROR(__xludf.DUMMYFUNCTION("""COMPUTED_VALUE"""),"SAN DIEGO")</f>
        <v>SAN DIEGO</v>
      </c>
      <c r="E334" s="2" t="str">
        <f ca="1">IFERROR(__xludf.DUMMYFUNCTION("""COMPUTED_VALUE"""),"CA")</f>
        <v>CA</v>
      </c>
      <c r="F334" s="4" t="str">
        <f ca="1">IFERROR(__xludf.DUMMYFUNCTION("""COMPUTED_VALUE"""),"92123")</f>
        <v>92123</v>
      </c>
      <c r="G334" s="2"/>
      <c r="H334" s="2"/>
      <c r="I334" s="2"/>
    </row>
    <row r="335" spans="1:9" ht="13" x14ac:dyDescent="0.3">
      <c r="A335" s="2" t="str">
        <f ca="1">IFERROR(__xludf.DUMMYFUNCTION("""COMPUTED_VALUE"""),"PBI INC-NC")</f>
        <v>PBI INC-NC</v>
      </c>
      <c r="B335" s="3"/>
      <c r="C335" s="2" t="str">
        <f ca="1">IFERROR(__xludf.DUMMYFUNCTION("""COMPUTED_VALUE"""),"*123 SWEETEN CREEK RD STE A")</f>
        <v>*123 SWEETEN CREEK RD STE A</v>
      </c>
      <c r="D335" s="2" t="str">
        <f ca="1">IFERROR(__xludf.DUMMYFUNCTION("""COMPUTED_VALUE"""),"ASHEVILLE")</f>
        <v>ASHEVILLE</v>
      </c>
      <c r="E335" s="2" t="str">
        <f ca="1">IFERROR(__xludf.DUMMYFUNCTION("""COMPUTED_VALUE"""),"NC")</f>
        <v>NC</v>
      </c>
      <c r="F335" s="4" t="str">
        <f ca="1">IFERROR(__xludf.DUMMYFUNCTION("""COMPUTED_VALUE"""),"28803")</f>
        <v>28803</v>
      </c>
      <c r="G335" s="2"/>
      <c r="H335" s="2"/>
      <c r="I335" s="2"/>
    </row>
    <row r="336" spans="1:9" ht="13" x14ac:dyDescent="0.3">
      <c r="A336" s="2" t="str">
        <f ca="1">IFERROR(__xludf.DUMMYFUNCTION("""COMPUTED_VALUE"""),"PC&amp;A BUSINESS ENVIRONMENTS-VA")</f>
        <v>PC&amp;A BUSINESS ENVIRONMENTS-VA</v>
      </c>
      <c r="B336" s="3" t="str">
        <f ca="1">IFERROR(__xludf.DUMMYFUNCTION("""COMPUTED_VALUE"""),"SWAM")</f>
        <v>SWAM</v>
      </c>
      <c r="C336" s="2" t="str">
        <f ca="1">IFERROR(__xludf.DUMMYFUNCTION("""COMPUTED_VALUE"""),"*7420 CENTRAL BUSINESS PK DR  STE 4")</f>
        <v>*7420 CENTRAL BUSINESS PK DR  STE 4</v>
      </c>
      <c r="D336" s="2" t="str">
        <f ca="1">IFERROR(__xludf.DUMMYFUNCTION("""COMPUTED_VALUE"""),"NORFOLK")</f>
        <v>NORFOLK</v>
      </c>
      <c r="E336" s="2" t="str">
        <f ca="1">IFERROR(__xludf.DUMMYFUNCTION("""COMPUTED_VALUE"""),"VA")</f>
        <v>VA</v>
      </c>
      <c r="F336" s="4" t="str">
        <f ca="1">IFERROR(__xludf.DUMMYFUNCTION("""COMPUTED_VALUE"""),"23513")</f>
        <v>23513</v>
      </c>
      <c r="G336" s="2"/>
      <c r="H336" s="2"/>
      <c r="I336" s="2"/>
    </row>
    <row r="337" spans="1:9" ht="13" x14ac:dyDescent="0.3">
      <c r="A337" s="2" t="str">
        <f ca="1">IFERROR(__xludf.DUMMYFUNCTION("""COMPUTED_VALUE"""),"PEABODY OFFICE FURNITURE CORP-MA")</f>
        <v>PEABODY OFFICE FURNITURE CORP-MA</v>
      </c>
      <c r="B337" s="3" t="str">
        <f ca="1">IFERROR(__xludf.DUMMYFUNCTION("""COMPUTED_VALUE"""),"s")</f>
        <v>s</v>
      </c>
      <c r="C337" s="2" t="str">
        <f ca="1">IFERROR(__xludf.DUMMYFUNCTION("""COMPUTED_VALUE"""),"*234 CONGRESS ST")</f>
        <v>*234 CONGRESS ST</v>
      </c>
      <c r="D337" s="2" t="str">
        <f ca="1">IFERROR(__xludf.DUMMYFUNCTION("""COMPUTED_VALUE"""),"BOSTON")</f>
        <v>BOSTON</v>
      </c>
      <c r="E337" s="2" t="str">
        <f ca="1">IFERROR(__xludf.DUMMYFUNCTION("""COMPUTED_VALUE"""),"MA")</f>
        <v>MA</v>
      </c>
      <c r="F337" s="4" t="str">
        <f ca="1">IFERROR(__xludf.DUMMYFUNCTION("""COMPUTED_VALUE"""),"02110")</f>
        <v>02110</v>
      </c>
      <c r="G337" s="2"/>
      <c r="H337" s="2"/>
      <c r="I337" s="2"/>
    </row>
    <row r="338" spans="1:9" ht="13" x14ac:dyDescent="0.3">
      <c r="A338" s="2" t="str">
        <f ca="1">IFERROR(__xludf.DUMMYFUNCTION("""COMPUTED_VALUE"""),"PEAR WORKPLACE SOLUTIONS")</f>
        <v>PEAR WORKPLACE SOLUTIONS</v>
      </c>
      <c r="B338" s="3" t="str">
        <f ca="1">IFERROR(__xludf.DUMMYFUNCTION("""COMPUTED_VALUE"""),"s")</f>
        <v>s</v>
      </c>
      <c r="C338" s="2" t="str">
        <f ca="1">IFERROR(__xludf.DUMMYFUNCTION("""COMPUTED_VALUE"""),"*1515 ARAPAHOE ST TOWER 1  SUITE 100")</f>
        <v>*1515 ARAPAHOE ST TOWER 1  SUITE 100</v>
      </c>
      <c r="D338" s="2" t="str">
        <f ca="1">IFERROR(__xludf.DUMMYFUNCTION("""COMPUTED_VALUE"""),"DENVER")</f>
        <v>DENVER</v>
      </c>
      <c r="E338" s="2" t="str">
        <f ca="1">IFERROR(__xludf.DUMMYFUNCTION("""COMPUTED_VALUE"""),"CO")</f>
        <v>CO</v>
      </c>
      <c r="F338" s="4" t="str">
        <f ca="1">IFERROR(__xludf.DUMMYFUNCTION("""COMPUTED_VALUE"""),"80202")</f>
        <v>80202</v>
      </c>
      <c r="G338" s="2"/>
      <c r="H338" s="2"/>
      <c r="I338" s="2"/>
    </row>
    <row r="339" spans="1:9" ht="13" x14ac:dyDescent="0.3">
      <c r="A339" s="2" t="str">
        <f ca="1">IFERROR(__xludf.DUMMYFUNCTION("""COMPUTED_VALUE"""),"PEOPLESPACE - SF BAY")</f>
        <v>PEOPLESPACE - SF BAY</v>
      </c>
      <c r="B339" s="3"/>
      <c r="C339" s="2" t="str">
        <f ca="1">IFERROR(__xludf.DUMMYFUNCTION("""COMPUTED_VALUE"""),"*1731 TECHNOLOGY DR STE 100")</f>
        <v>*1731 TECHNOLOGY DR STE 100</v>
      </c>
      <c r="D339" s="2" t="str">
        <f ca="1">IFERROR(__xludf.DUMMYFUNCTION("""COMPUTED_VALUE"""),"SAN JOSE")</f>
        <v>SAN JOSE</v>
      </c>
      <c r="E339" s="2" t="str">
        <f ca="1">IFERROR(__xludf.DUMMYFUNCTION("""COMPUTED_VALUE"""),"CA")</f>
        <v>CA</v>
      </c>
      <c r="F339" s="4" t="str">
        <f ca="1">IFERROR(__xludf.DUMMYFUNCTION("""COMPUTED_VALUE"""),"95110")</f>
        <v>95110</v>
      </c>
      <c r="G339" s="2"/>
      <c r="H339" s="2"/>
      <c r="I339" s="2"/>
    </row>
    <row r="340" spans="1:9" ht="13" x14ac:dyDescent="0.3">
      <c r="A340" s="2" t="str">
        <f ca="1">IFERROR(__xludf.DUMMYFUNCTION("""COMPUTED_VALUE"""),"PETTUS OFFICE PRODUCTS")</f>
        <v>PETTUS OFFICE PRODUCTS</v>
      </c>
      <c r="B340" s="3"/>
      <c r="C340" s="2" t="str">
        <f ca="1">IFERROR(__xludf.DUMMYFUNCTION("""COMPUTED_VALUE"""),"*2 FREEWAY DR")</f>
        <v>*2 FREEWAY DR</v>
      </c>
      <c r="D340" s="2" t="str">
        <f ca="1">IFERROR(__xludf.DUMMYFUNCTION("""COMPUTED_VALUE"""),"LITTLE ROCK")</f>
        <v>LITTLE ROCK</v>
      </c>
      <c r="E340" s="2" t="str">
        <f ca="1">IFERROR(__xludf.DUMMYFUNCTION("""COMPUTED_VALUE"""),"AR")</f>
        <v>AR</v>
      </c>
      <c r="F340" s="4" t="str">
        <f ca="1">IFERROR(__xludf.DUMMYFUNCTION("""COMPUTED_VALUE"""),"72204")</f>
        <v>72204</v>
      </c>
      <c r="G340" s="2"/>
      <c r="H340" s="2"/>
      <c r="I340" s="2"/>
    </row>
    <row r="341" spans="1:9" ht="13" x14ac:dyDescent="0.3">
      <c r="A341" s="2" t="str">
        <f ca="1">IFERROR(__xludf.DUMMYFUNCTION("""COMPUTED_VALUE"""),"PIVOT INTERIORS INC-LOS ANGELES")</f>
        <v>PIVOT INTERIORS INC-LOS ANGELES</v>
      </c>
      <c r="B341" s="3"/>
      <c r="C341" s="2" t="str">
        <f ca="1">IFERROR(__xludf.DUMMYFUNCTION("""COMPUTED_VALUE"""),"*3355 SCOTT BLVD STE 110")</f>
        <v>*3355 SCOTT BLVD STE 110</v>
      </c>
      <c r="D341" s="2" t="str">
        <f ca="1">IFERROR(__xludf.DUMMYFUNCTION("""COMPUTED_VALUE"""),"SANTA CLARA")</f>
        <v>SANTA CLARA</v>
      </c>
      <c r="E341" s="2" t="str">
        <f ca="1">IFERROR(__xludf.DUMMYFUNCTION("""COMPUTED_VALUE"""),"CA")</f>
        <v>CA</v>
      </c>
      <c r="F341" s="4" t="str">
        <f ca="1">IFERROR(__xludf.DUMMYFUNCTION("""COMPUTED_VALUE"""),"95054")</f>
        <v>95054</v>
      </c>
      <c r="G341" s="2"/>
      <c r="H341" s="2"/>
      <c r="I341" s="2"/>
    </row>
    <row r="342" spans="1:9" ht="13" x14ac:dyDescent="0.3">
      <c r="A342" s="2" t="str">
        <f ca="1">IFERROR(__xludf.DUMMYFUNCTION("""COMPUTED_VALUE"""),"PIVOT INTERIORS INC-SAN FRANCISCO")</f>
        <v>PIVOT INTERIORS INC-SAN FRANCISCO</v>
      </c>
      <c r="B342" s="3"/>
      <c r="C342" s="2" t="str">
        <f ca="1">IFERROR(__xludf.DUMMYFUNCTION("""COMPUTED_VALUE"""),"*333 BUSH ST STE 1480")</f>
        <v>*333 BUSH ST STE 1480</v>
      </c>
      <c r="D342" s="2" t="str">
        <f ca="1">IFERROR(__xludf.DUMMYFUNCTION("""COMPUTED_VALUE"""),"SAN FRANCISCO")</f>
        <v>SAN FRANCISCO</v>
      </c>
      <c r="E342" s="2" t="str">
        <f ca="1">IFERROR(__xludf.DUMMYFUNCTION("""COMPUTED_VALUE"""),"CA")</f>
        <v>CA</v>
      </c>
      <c r="F342" s="4" t="str">
        <f ca="1">IFERROR(__xludf.DUMMYFUNCTION("""COMPUTED_VALUE"""),"94104")</f>
        <v>94104</v>
      </c>
      <c r="G342" s="2"/>
      <c r="H342" s="2"/>
      <c r="I342" s="2"/>
    </row>
    <row r="343" spans="1:9" ht="13" x14ac:dyDescent="0.3">
      <c r="A343" s="2" t="str">
        <f ca="1">IFERROR(__xludf.DUMMYFUNCTION("""COMPUTED_VALUE"""),"PIVOT INTERIORS INC-SAN JOSE")</f>
        <v>PIVOT INTERIORS INC-SAN JOSE</v>
      </c>
      <c r="B343" s="3"/>
      <c r="C343" s="2" t="str">
        <f ca="1">IFERROR(__xludf.DUMMYFUNCTION("""COMPUTED_VALUE"""),"*3355 SCOTT BLVD STE 110  NO SEMIS")</f>
        <v>*3355 SCOTT BLVD STE 110  NO SEMIS</v>
      </c>
      <c r="D343" s="2" t="str">
        <f ca="1">IFERROR(__xludf.DUMMYFUNCTION("""COMPUTED_VALUE"""),"SANTA CLARA")</f>
        <v>SANTA CLARA</v>
      </c>
      <c r="E343" s="2" t="str">
        <f ca="1">IFERROR(__xludf.DUMMYFUNCTION("""COMPUTED_VALUE"""),"CA")</f>
        <v>CA</v>
      </c>
      <c r="F343" s="4" t="str">
        <f ca="1">IFERROR(__xludf.DUMMYFUNCTION("""COMPUTED_VALUE"""),"95054")</f>
        <v>95054</v>
      </c>
      <c r="G343" s="2"/>
      <c r="H343" s="2"/>
      <c r="I343" s="2"/>
    </row>
    <row r="344" spans="1:9" ht="13" x14ac:dyDescent="0.3">
      <c r="A344" s="2" t="str">
        <f ca="1">IFERROR(__xludf.DUMMYFUNCTION("""COMPUTED_VALUE"""),"PIVOT INTERIORS INC-SAN JOSE/S CLARA")</f>
        <v>PIVOT INTERIORS INC-SAN JOSE/S CLARA</v>
      </c>
      <c r="B344" s="3"/>
      <c r="C344" s="2" t="str">
        <f ca="1">IFERROR(__xludf.DUMMYFUNCTION("""COMPUTED_VALUE"""),"*3355 SCOTT BLVD STE #110  NO SEMIS")</f>
        <v>*3355 SCOTT BLVD STE #110  NO SEMIS</v>
      </c>
      <c r="D344" s="2" t="str">
        <f ca="1">IFERROR(__xludf.DUMMYFUNCTION("""COMPUTED_VALUE"""),"SANTA CLARA")</f>
        <v>SANTA CLARA</v>
      </c>
      <c r="E344" s="2" t="str">
        <f ca="1">IFERROR(__xludf.DUMMYFUNCTION("""COMPUTED_VALUE"""),"CA")</f>
        <v>CA</v>
      </c>
      <c r="F344" s="4" t="str">
        <f ca="1">IFERROR(__xludf.DUMMYFUNCTION("""COMPUTED_VALUE"""),"95054")</f>
        <v>95054</v>
      </c>
      <c r="G344" s="2"/>
      <c r="H344" s="2"/>
      <c r="I344" s="2"/>
    </row>
    <row r="345" spans="1:9" ht="13" x14ac:dyDescent="0.3">
      <c r="A345" s="2" t="str">
        <f ca="1">IFERROR(__xludf.DUMMYFUNCTION("""COMPUTED_VALUE"""),"PMC COMMERCIAL INTERIORS")</f>
        <v>PMC COMMERCIAL INTERIORS</v>
      </c>
      <c r="B345" s="3" t="str">
        <f ca="1">IFERROR(__xludf.DUMMYFUNCTION("""COMPUTED_VALUE"""),"s")</f>
        <v>s</v>
      </c>
      <c r="C345" s="2" t="str">
        <f ca="1">IFERROR(__xludf.DUMMYFUNCTION("""COMPUTED_VALUE"""),"*ATTN ACCTS PAYABLE  3000 PERIMETER PK DR")</f>
        <v>*ATTN ACCTS PAYABLE  3000 PERIMETER PK DR</v>
      </c>
      <c r="D345" s="2" t="str">
        <f ca="1">IFERROR(__xludf.DUMMYFUNCTION("""COMPUTED_VALUE"""),"MORRISVILLE")</f>
        <v>MORRISVILLE</v>
      </c>
      <c r="E345" s="2" t="str">
        <f ca="1">IFERROR(__xludf.DUMMYFUNCTION("""COMPUTED_VALUE"""),"NC")</f>
        <v>NC</v>
      </c>
      <c r="F345" s="4" t="str">
        <f ca="1">IFERROR(__xludf.DUMMYFUNCTION("""COMPUTED_VALUE"""),"27560")</f>
        <v>27560</v>
      </c>
      <c r="G345" s="2"/>
      <c r="H345" s="2"/>
      <c r="I345" s="2"/>
    </row>
    <row r="346" spans="1:9" ht="13" x14ac:dyDescent="0.3">
      <c r="A346" s="2" t="str">
        <f ca="1">IFERROR(__xludf.DUMMYFUNCTION("""COMPUTED_VALUE"""),"POLSTON COMMERCIAL FURNISHINGS")</f>
        <v>POLSTON COMMERCIAL FURNISHINGS</v>
      </c>
      <c r="B346" s="3"/>
      <c r="C346" s="2" t="str">
        <f ca="1">IFERROR(__xludf.DUMMYFUNCTION("""COMPUTED_VALUE"""),"PO BOX 6989")</f>
        <v>PO BOX 6989</v>
      </c>
      <c r="D346" s="2" t="str">
        <f ca="1">IFERROR(__xludf.DUMMYFUNCTION("""COMPUTED_VALUE"""),"YUMA")</f>
        <v>YUMA</v>
      </c>
      <c r="E346" s="2" t="str">
        <f ca="1">IFERROR(__xludf.DUMMYFUNCTION("""COMPUTED_VALUE"""),"AZ")</f>
        <v>AZ</v>
      </c>
      <c r="F346" s="4">
        <f ca="1">IFERROR(__xludf.DUMMYFUNCTION("""COMPUTED_VALUE"""),85366)</f>
        <v>85366</v>
      </c>
      <c r="G346" s="2"/>
      <c r="H346" s="2"/>
      <c r="I346" s="2"/>
    </row>
    <row r="347" spans="1:9" ht="13" x14ac:dyDescent="0.3">
      <c r="A347" s="2" t="str">
        <f ca="1">IFERROR(__xludf.DUMMYFUNCTION("""COMPUTED_VALUE"""),"PRADERE OFFICE PRODUCTS")</f>
        <v>PRADERE OFFICE PRODUCTS</v>
      </c>
      <c r="B347" s="3"/>
      <c r="C347" s="2" t="str">
        <f ca="1">IFERROR(__xludf.DUMMYFUNCTION("""COMPUTED_VALUE"""),"*7655 W 20TH AVE")</f>
        <v>*7655 W 20TH AVE</v>
      </c>
      <c r="D347" s="2" t="str">
        <f ca="1">IFERROR(__xludf.DUMMYFUNCTION("""COMPUTED_VALUE"""),"HIALEAH")</f>
        <v>HIALEAH</v>
      </c>
      <c r="E347" s="2" t="str">
        <f ca="1">IFERROR(__xludf.DUMMYFUNCTION("""COMPUTED_VALUE"""),"FL")</f>
        <v>FL</v>
      </c>
      <c r="F347" s="4" t="str">
        <f ca="1">IFERROR(__xludf.DUMMYFUNCTION("""COMPUTED_VALUE"""),"33014")</f>
        <v>33014</v>
      </c>
      <c r="G347" s="2"/>
      <c r="H347" s="2"/>
      <c r="I347" s="2"/>
    </row>
    <row r="348" spans="1:9" ht="13" x14ac:dyDescent="0.3">
      <c r="A348" s="2" t="str">
        <f ca="1">IFERROR(__xludf.DUMMYFUNCTION("""COMPUTED_VALUE"""),"PRENTICE OFFICE ENVIRONMENTS")</f>
        <v>PRENTICE OFFICE ENVIRONMENTS</v>
      </c>
      <c r="B348" s="3"/>
      <c r="C348" s="2" t="str">
        <f ca="1">IFERROR(__xludf.DUMMYFUNCTION("""COMPUTED_VALUE"""),"*472 FRANKLIN ST")</f>
        <v>*472 FRANKLIN ST</v>
      </c>
      <c r="D348" s="2" t="str">
        <f ca="1">IFERROR(__xludf.DUMMYFUNCTION("""COMPUTED_VALUE"""),"BUFFALO")</f>
        <v>BUFFALO</v>
      </c>
      <c r="E348" s="2" t="str">
        <f ca="1">IFERROR(__xludf.DUMMYFUNCTION("""COMPUTED_VALUE"""),"NY")</f>
        <v>NY</v>
      </c>
      <c r="F348" s="4" t="str">
        <f ca="1">IFERROR(__xludf.DUMMYFUNCTION("""COMPUTED_VALUE"""),"14202")</f>
        <v>14202</v>
      </c>
      <c r="G348" s="2"/>
      <c r="H348" s="2"/>
      <c r="I348" s="2"/>
    </row>
    <row r="349" spans="1:9" ht="13" x14ac:dyDescent="0.3">
      <c r="A349" s="2" t="str">
        <f ca="1">IFERROR(__xludf.DUMMYFUNCTION("""COMPUTED_VALUE"""),"PREVOLV-MN")</f>
        <v>PREVOLV-MN</v>
      </c>
      <c r="B349" s="3"/>
      <c r="C349" s="2" t="str">
        <f ca="1">IFERROR(__xludf.DUMMYFUNCTION("""COMPUTED_VALUE"""),"*2635 UNIVERSITY AVE W STE 120")</f>
        <v>*2635 UNIVERSITY AVE W STE 120</v>
      </c>
      <c r="D349" s="2" t="str">
        <f ca="1">IFERROR(__xludf.DUMMYFUNCTION("""COMPUTED_VALUE"""),"ST PAUL")</f>
        <v>ST PAUL</v>
      </c>
      <c r="E349" s="2" t="str">
        <f ca="1">IFERROR(__xludf.DUMMYFUNCTION("""COMPUTED_VALUE"""),"MN")</f>
        <v>MN</v>
      </c>
      <c r="F349" s="4" t="str">
        <f ca="1">IFERROR(__xludf.DUMMYFUNCTION("""COMPUTED_VALUE"""),"55114")</f>
        <v>55114</v>
      </c>
      <c r="G349" s="2"/>
      <c r="H349" s="2"/>
      <c r="I349" s="2"/>
    </row>
    <row r="350" spans="1:9" ht="13" x14ac:dyDescent="0.3">
      <c r="A350" s="2" t="str">
        <f ca="1">IFERROR(__xludf.DUMMYFUNCTION("""COMPUTED_VALUE"""),"PRICE MODERN - BALTIMORE")</f>
        <v>PRICE MODERN - BALTIMORE</v>
      </c>
      <c r="B350" s="3"/>
      <c r="C350" s="2" t="str">
        <f ca="1">IFERROR(__xludf.DUMMYFUNCTION("""COMPUTED_VALUE"""),"*2604 SISSON ST")</f>
        <v>*2604 SISSON ST</v>
      </c>
      <c r="D350" s="2" t="str">
        <f ca="1">IFERROR(__xludf.DUMMYFUNCTION("""COMPUTED_VALUE"""),"BALTIMORE")</f>
        <v>BALTIMORE</v>
      </c>
      <c r="E350" s="2" t="str">
        <f ca="1">IFERROR(__xludf.DUMMYFUNCTION("""COMPUTED_VALUE"""),"MD")</f>
        <v>MD</v>
      </c>
      <c r="F350" s="4" t="str">
        <f ca="1">IFERROR(__xludf.DUMMYFUNCTION("""COMPUTED_VALUE"""),"21211")</f>
        <v>21211</v>
      </c>
      <c r="G350" s="2"/>
      <c r="H350" s="2"/>
      <c r="I350" s="2"/>
    </row>
    <row r="351" spans="1:9" ht="13" x14ac:dyDescent="0.3">
      <c r="A351" s="2" t="str">
        <f ca="1">IFERROR(__xludf.DUMMYFUNCTION("""COMPUTED_VALUE"""),"PRICE MODERN - WASHINGTON")</f>
        <v>PRICE MODERN - WASHINGTON</v>
      </c>
      <c r="B351" s="3"/>
      <c r="C351" s="2" t="str">
        <f ca="1">IFERROR(__xludf.DUMMYFUNCTION("""COMPUTED_VALUE"""),"*2604 SISSON ST")</f>
        <v>*2604 SISSON ST</v>
      </c>
      <c r="D351" s="2" t="str">
        <f ca="1">IFERROR(__xludf.DUMMYFUNCTION("""COMPUTED_VALUE"""),"BALTIMORE")</f>
        <v>BALTIMORE</v>
      </c>
      <c r="E351" s="2" t="str">
        <f ca="1">IFERROR(__xludf.DUMMYFUNCTION("""COMPUTED_VALUE"""),"MD")</f>
        <v>MD</v>
      </c>
      <c r="F351" s="4" t="str">
        <f ca="1">IFERROR(__xludf.DUMMYFUNCTION("""COMPUTED_VALUE"""),"21211")</f>
        <v>21211</v>
      </c>
      <c r="G351" s="2"/>
      <c r="H351" s="2"/>
      <c r="I351" s="2"/>
    </row>
    <row r="352" spans="1:9" ht="13" x14ac:dyDescent="0.3">
      <c r="A352" s="2" t="str">
        <f ca="1">IFERROR(__xludf.DUMMYFUNCTION("""COMPUTED_VALUE"""),"PRINTERS &amp; STATIONERS INC")</f>
        <v>PRINTERS &amp; STATIONERS INC</v>
      </c>
      <c r="B352" s="3"/>
      <c r="C352" s="2" t="str">
        <f ca="1">IFERROR(__xludf.DUMMYFUNCTION("""COMPUTED_VALUE"""),"*113 N COURT ST P O BOX T")</f>
        <v>*113 N COURT ST P O BOX T</v>
      </c>
      <c r="D352" s="2" t="str">
        <f ca="1">IFERROR(__xludf.DUMMYFUNCTION("""COMPUTED_VALUE"""),"FLORENCE")</f>
        <v>FLORENCE</v>
      </c>
      <c r="E352" s="2" t="str">
        <f ca="1">IFERROR(__xludf.DUMMYFUNCTION("""COMPUTED_VALUE"""),"AL")</f>
        <v>AL</v>
      </c>
      <c r="F352" s="4" t="str">
        <f ca="1">IFERROR(__xludf.DUMMYFUNCTION("""COMPUTED_VALUE"""),"35631")</f>
        <v>35631</v>
      </c>
      <c r="G352" s="2"/>
      <c r="H352" s="2"/>
      <c r="I352" s="2"/>
    </row>
    <row r="353" spans="1:9" ht="13" x14ac:dyDescent="0.3">
      <c r="A353" s="2" t="str">
        <f ca="1">IFERROR(__xludf.DUMMYFUNCTION("""COMPUTED_VALUE"""),"PROFESSIONAL OFFICE ENVIRONMENTS INC")</f>
        <v>PROFESSIONAL OFFICE ENVIRONMENTS INC</v>
      </c>
      <c r="B353" s="3" t="str">
        <f ca="1">IFERROR(__xludf.DUMMYFUNCTION("""COMPUTED_VALUE"""),"s")</f>
        <v>s</v>
      </c>
      <c r="C353" s="2" t="str">
        <f ca="1">IFERROR(__xludf.DUMMYFUNCTION("""COMPUTED_VALUE"""),"*222 MILLWELL DR")</f>
        <v>*222 MILLWELL DR</v>
      </c>
      <c r="D353" s="2" t="str">
        <f ca="1">IFERROR(__xludf.DUMMYFUNCTION("""COMPUTED_VALUE"""),"MARYLAND HEIGHTS")</f>
        <v>MARYLAND HEIGHTS</v>
      </c>
      <c r="E353" s="2" t="str">
        <f ca="1">IFERROR(__xludf.DUMMYFUNCTION("""COMPUTED_VALUE"""),"MO")</f>
        <v>MO</v>
      </c>
      <c r="F353" s="4" t="str">
        <f ca="1">IFERROR(__xludf.DUMMYFUNCTION("""COMPUTED_VALUE"""),"63043")</f>
        <v>63043</v>
      </c>
      <c r="G353" s="2"/>
      <c r="H353" s="2"/>
      <c r="I353" s="2"/>
    </row>
    <row r="354" spans="1:9" ht="13" x14ac:dyDescent="0.3">
      <c r="A354" s="2" t="str">
        <f ca="1">IFERROR(__xludf.DUMMYFUNCTION("""COMPUTED_VALUE"""),"RENO BUSINESS INTERIORS INC")</f>
        <v>RENO BUSINESS INTERIORS INC</v>
      </c>
      <c r="B354" s="3"/>
      <c r="C354" s="2" t="str">
        <f ca="1">IFERROR(__xludf.DUMMYFUNCTION("""COMPUTED_VALUE"""),"*427 RIDGE ST STE D")</f>
        <v>*427 RIDGE ST STE D</v>
      </c>
      <c r="D354" s="2" t="str">
        <f ca="1">IFERROR(__xludf.DUMMYFUNCTION("""COMPUTED_VALUE"""),"RENO")</f>
        <v>RENO</v>
      </c>
      <c r="E354" s="2" t="str">
        <f ca="1">IFERROR(__xludf.DUMMYFUNCTION("""COMPUTED_VALUE"""),"NV")</f>
        <v>NV</v>
      </c>
      <c r="F354" s="4" t="str">
        <f ca="1">IFERROR(__xludf.DUMMYFUNCTION("""COMPUTED_VALUE"""),"89501")</f>
        <v>89501</v>
      </c>
      <c r="G354" s="2"/>
      <c r="H354" s="2"/>
      <c r="I354" s="2"/>
    </row>
    <row r="355" spans="1:9" ht="13" x14ac:dyDescent="0.3">
      <c r="A355" s="2" t="str">
        <f ca="1">IFERROR(__xludf.DUMMYFUNCTION("""COMPUTED_VALUE"""),"REPPERTS OFFICE FURNITURE")</f>
        <v>REPPERTS OFFICE FURNITURE</v>
      </c>
      <c r="B355" s="3"/>
      <c r="C355" s="2" t="str">
        <f ca="1">IFERROR(__xludf.DUMMYFUNCTION("""COMPUTED_VALUE"""),"*112 LAFAYETTE ST")</f>
        <v>*112 LAFAYETTE ST</v>
      </c>
      <c r="D355" s="2" t="str">
        <f ca="1">IFERROR(__xludf.DUMMYFUNCTION("""COMPUTED_VALUE"""),"ANNA")</f>
        <v>ANNA</v>
      </c>
      <c r="E355" s="2" t="str">
        <f ca="1">IFERROR(__xludf.DUMMYFUNCTION("""COMPUTED_VALUE"""),"IL")</f>
        <v>IL</v>
      </c>
      <c r="F355" s="4" t="str">
        <f ca="1">IFERROR(__xludf.DUMMYFUNCTION("""COMPUTED_VALUE"""),"62906")</f>
        <v>62906</v>
      </c>
      <c r="G355" s="2"/>
      <c r="H355" s="2"/>
      <c r="I355" s="2"/>
    </row>
    <row r="356" spans="1:9" ht="13" x14ac:dyDescent="0.3">
      <c r="A356" s="2" t="str">
        <f ca="1">IFERROR(__xludf.DUMMYFUNCTION("""COMPUTED_VALUE"""),"RESOURCE ONE")</f>
        <v>RESOURCE ONE</v>
      </c>
      <c r="B356" s="3"/>
      <c r="C356" s="2" t="str">
        <f ca="1">IFERROR(__xludf.DUMMYFUNCTION("""COMPUTED_VALUE"""),"*321 E ADAMS")</f>
        <v>*321 E ADAMS</v>
      </c>
      <c r="D356" s="2" t="str">
        <f ca="1">IFERROR(__xludf.DUMMYFUNCTION("""COMPUTED_VALUE"""),"SPRINGFIELD")</f>
        <v>SPRINGFIELD</v>
      </c>
      <c r="E356" s="2" t="str">
        <f ca="1">IFERROR(__xludf.DUMMYFUNCTION("""COMPUTED_VALUE"""),"IL")</f>
        <v>IL</v>
      </c>
      <c r="F356" s="4" t="str">
        <f ca="1">IFERROR(__xludf.DUMMYFUNCTION("""COMPUTED_VALUE"""),"62701")</f>
        <v>62701</v>
      </c>
      <c r="G356" s="2"/>
      <c r="H356" s="2"/>
      <c r="I356" s="2"/>
    </row>
    <row r="357" spans="1:9" ht="13" x14ac:dyDescent="0.3">
      <c r="A357" s="2" t="str">
        <f ca="1">IFERROR(__xludf.DUMMYFUNCTION("""COMPUTED_VALUE"""),"RJE BUSINESS INTERIORS LLC-IN")</f>
        <v>RJE BUSINESS INTERIORS LLC-IN</v>
      </c>
      <c r="B357" s="3" t="str">
        <f ca="1">IFERROR(__xludf.DUMMYFUNCTION("""COMPUTED_VALUE"""),"s")</f>
        <v>s</v>
      </c>
      <c r="C357" s="2" t="str">
        <f ca="1">IFERROR(__xludf.DUMMYFUNCTION("""COMPUTED_VALUE"""),"*601 E OHIO ST")</f>
        <v>*601 E OHIO ST</v>
      </c>
      <c r="D357" s="2" t="str">
        <f ca="1">IFERROR(__xludf.DUMMYFUNCTION("""COMPUTED_VALUE"""),"INDIANAPOLIS")</f>
        <v>INDIANAPOLIS</v>
      </c>
      <c r="E357" s="2" t="str">
        <f ca="1">IFERROR(__xludf.DUMMYFUNCTION("""COMPUTED_VALUE"""),"IN")</f>
        <v>IN</v>
      </c>
      <c r="F357" s="4" t="str">
        <f ca="1">IFERROR(__xludf.DUMMYFUNCTION("""COMPUTED_VALUE"""),"46202")</f>
        <v>46202</v>
      </c>
      <c r="G357" s="2"/>
      <c r="H357" s="2"/>
      <c r="I357" s="2"/>
    </row>
    <row r="358" spans="1:9" ht="13" x14ac:dyDescent="0.3">
      <c r="A358" s="2" t="str">
        <f ca="1">IFERROR(__xludf.DUMMYFUNCTION("""COMPUTED_VALUE"""),"RJE BUSINESS INTERIORS LLC-KY")</f>
        <v>RJE BUSINESS INTERIORS LLC-KY</v>
      </c>
      <c r="B358" s="3"/>
      <c r="C358" s="2" t="str">
        <f ca="1">IFERROR(__xludf.DUMMYFUNCTION("""COMPUTED_VALUE"""),"*601 E OHIO ST")</f>
        <v>*601 E OHIO ST</v>
      </c>
      <c r="D358" s="2" t="str">
        <f ca="1">IFERROR(__xludf.DUMMYFUNCTION("""COMPUTED_VALUE"""),"INDIANAPOLIS")</f>
        <v>INDIANAPOLIS</v>
      </c>
      <c r="E358" s="2" t="str">
        <f ca="1">IFERROR(__xludf.DUMMYFUNCTION("""COMPUTED_VALUE"""),"IN")</f>
        <v>IN</v>
      </c>
      <c r="F358" s="4" t="str">
        <f ca="1">IFERROR(__xludf.DUMMYFUNCTION("""COMPUTED_VALUE"""),"46202")</f>
        <v>46202</v>
      </c>
      <c r="G358" s="2"/>
      <c r="H358" s="2"/>
      <c r="I358" s="2"/>
    </row>
    <row r="359" spans="1:9" ht="13" x14ac:dyDescent="0.3">
      <c r="A359" s="2" t="str">
        <f ca="1">IFERROR(__xludf.DUMMYFUNCTION("""COMPUTED_VALUE"""),"RJE BUSINESS INTERIORS LLC-OH")</f>
        <v>RJE BUSINESS INTERIORS LLC-OH</v>
      </c>
      <c r="B359" s="3"/>
      <c r="C359" s="2" t="str">
        <f ca="1">IFERROR(__xludf.DUMMYFUNCTION("""COMPUTED_VALUE"""),"*601 E OHIO ST")</f>
        <v>*601 E OHIO ST</v>
      </c>
      <c r="D359" s="2" t="str">
        <f ca="1">IFERROR(__xludf.DUMMYFUNCTION("""COMPUTED_VALUE"""),"INDIANAPOLIS")</f>
        <v>INDIANAPOLIS</v>
      </c>
      <c r="E359" s="2" t="str">
        <f ca="1">IFERROR(__xludf.DUMMYFUNCTION("""COMPUTED_VALUE"""),"IN")</f>
        <v>IN</v>
      </c>
      <c r="F359" s="4" t="str">
        <f ca="1">IFERROR(__xludf.DUMMYFUNCTION("""COMPUTED_VALUE"""),"46202")</f>
        <v>46202</v>
      </c>
      <c r="G359" s="2"/>
      <c r="H359" s="2"/>
      <c r="I359" s="2"/>
    </row>
    <row r="360" spans="1:9" ht="13" x14ac:dyDescent="0.3">
      <c r="A360" s="2" t="str">
        <f ca="1">IFERROR(__xludf.DUMMYFUNCTION("""COMPUTED_VALUE"""),"ROCKFORD BUSINESS INTERIORS")</f>
        <v>ROCKFORD BUSINESS INTERIORS</v>
      </c>
      <c r="B360" s="3"/>
      <c r="C360" s="2" t="str">
        <f ca="1">IFERROR(__xludf.DUMMYFUNCTION("""COMPUTED_VALUE"""),"*6869 OLD KATY RD")</f>
        <v>*6869 OLD KATY RD</v>
      </c>
      <c r="D360" s="2" t="str">
        <f ca="1">IFERROR(__xludf.DUMMYFUNCTION("""COMPUTED_VALUE"""),"HOUSTON")</f>
        <v>HOUSTON</v>
      </c>
      <c r="E360" s="2" t="str">
        <f ca="1">IFERROR(__xludf.DUMMYFUNCTION("""COMPUTED_VALUE"""),"TX")</f>
        <v>TX</v>
      </c>
      <c r="F360" s="4" t="str">
        <f ca="1">IFERROR(__xludf.DUMMYFUNCTION("""COMPUTED_VALUE"""),"77024")</f>
        <v>77024</v>
      </c>
      <c r="G360" s="2"/>
      <c r="H360" s="2"/>
      <c r="I360" s="2"/>
    </row>
    <row r="361" spans="1:9" ht="13" x14ac:dyDescent="0.3">
      <c r="A361" s="2" t="str">
        <f ca="1">IFERROR(__xludf.DUMMYFUNCTION("""COMPUTED_VALUE"""),"SAMCLAR")</f>
        <v>SAMCLAR</v>
      </c>
      <c r="B361" s="3"/>
      <c r="C361" s="2" t="str">
        <f ca="1">IFERROR(__xludf.DUMMYFUNCTION("""COMPUTED_VALUE"""),"*1221 DIAMOND WAY")</f>
        <v>*1221 DIAMOND WAY</v>
      </c>
      <c r="D361" s="2" t="str">
        <f ca="1">IFERROR(__xludf.DUMMYFUNCTION("""COMPUTED_VALUE"""),"CONCORD")</f>
        <v>CONCORD</v>
      </c>
      <c r="E361" s="2" t="str">
        <f ca="1">IFERROR(__xludf.DUMMYFUNCTION("""COMPUTED_VALUE"""),"CA")</f>
        <v>CA</v>
      </c>
      <c r="F361" s="4" t="str">
        <f ca="1">IFERROR(__xludf.DUMMYFUNCTION("""COMPUTED_VALUE"""),"94520")</f>
        <v>94520</v>
      </c>
      <c r="G361" s="2"/>
      <c r="H361" s="2"/>
      <c r="I361" s="2"/>
    </row>
    <row r="362" spans="1:9" ht="13" x14ac:dyDescent="0.3">
      <c r="A362" s="2" t="str">
        <f ca="1">IFERROR(__xludf.DUMMYFUNCTION("""COMPUTED_VALUE"""),"SAMUELS GROUP ENVIRONMENTS")</f>
        <v>SAMUELS GROUP ENVIRONMENTS</v>
      </c>
      <c r="B362" s="3"/>
      <c r="C362" s="2" t="str">
        <f ca="1">IFERROR(__xludf.DUMMYFUNCTION("""COMPUTED_VALUE"""),"*311 FINANCIAL WAY STE 300")</f>
        <v>*311 FINANCIAL WAY STE 300</v>
      </c>
      <c r="D362" s="2" t="str">
        <f ca="1">IFERROR(__xludf.DUMMYFUNCTION("""COMPUTED_VALUE"""),"WAUSAU")</f>
        <v>WAUSAU</v>
      </c>
      <c r="E362" s="2" t="str">
        <f ca="1">IFERROR(__xludf.DUMMYFUNCTION("""COMPUTED_VALUE"""),"WI")</f>
        <v>WI</v>
      </c>
      <c r="F362" s="4" t="str">
        <f ca="1">IFERROR(__xludf.DUMMYFUNCTION("""COMPUTED_VALUE"""),"54401")</f>
        <v>54401</v>
      </c>
      <c r="G362" s="2"/>
      <c r="H362" s="2"/>
      <c r="I362" s="2"/>
    </row>
    <row r="363" spans="1:9" ht="26" x14ac:dyDescent="0.3">
      <c r="A363" s="2" t="str">
        <f ca="1">IFERROR(__xludf.DUMMYFUNCTION("""COMPUTED_VALUE"""),"SAXTON INC")</f>
        <v>SAXTON INC</v>
      </c>
      <c r="B363" s="3" t="str">
        <f ca="1">IFERROR(__xludf.DUMMYFUNCTION("""COMPUTED_VALUE"""),"WO, SB, disadvantaged")</f>
        <v>WO, SB, disadvantaged</v>
      </c>
      <c r="C363" s="2" t="str">
        <f ca="1">IFERROR(__xludf.DUMMYFUNCTION("""COMPUTED_VALUE"""),"*600 3RD ST SE STUDIO 300")</f>
        <v>*600 3RD ST SE STUDIO 300</v>
      </c>
      <c r="D363" s="2" t="str">
        <f ca="1">IFERROR(__xludf.DUMMYFUNCTION("""COMPUTED_VALUE"""),"CEDAR RAPIDS")</f>
        <v>CEDAR RAPIDS</v>
      </c>
      <c r="E363" s="2" t="str">
        <f ca="1">IFERROR(__xludf.DUMMYFUNCTION("""COMPUTED_VALUE"""),"IA")</f>
        <v>IA</v>
      </c>
      <c r="F363" s="4" t="str">
        <f ca="1">IFERROR(__xludf.DUMMYFUNCTION("""COMPUTED_VALUE"""),"52401")</f>
        <v>52401</v>
      </c>
      <c r="G363" s="2"/>
      <c r="H363" s="2"/>
      <c r="I363" s="2"/>
    </row>
    <row r="364" spans="1:9" ht="13" x14ac:dyDescent="0.3">
      <c r="A364" s="2" t="str">
        <f ca="1">IFERROR(__xludf.DUMMYFUNCTION("""COMPUTED_VALUE"""),"SCOTT RICE-BROKEN ARROW")</f>
        <v>SCOTT RICE-BROKEN ARROW</v>
      </c>
      <c r="B364" s="3"/>
      <c r="C364" s="2" t="str">
        <f ca="1">IFERROR(__xludf.DUMMYFUNCTION("""COMPUTED_VALUE"""),"*2900-A N HEMLOCK CIR")</f>
        <v>*2900-A N HEMLOCK CIR</v>
      </c>
      <c r="D364" s="2" t="str">
        <f ca="1">IFERROR(__xludf.DUMMYFUNCTION("""COMPUTED_VALUE"""),"BROKEN ARROW")</f>
        <v>BROKEN ARROW</v>
      </c>
      <c r="E364" s="2" t="str">
        <f ca="1">IFERROR(__xludf.DUMMYFUNCTION("""COMPUTED_VALUE"""),"OK")</f>
        <v>OK</v>
      </c>
      <c r="F364" s="4" t="str">
        <f ca="1">IFERROR(__xludf.DUMMYFUNCTION("""COMPUTED_VALUE"""),"74012")</f>
        <v>74012</v>
      </c>
      <c r="G364" s="2"/>
      <c r="H364" s="2"/>
      <c r="I364" s="2"/>
    </row>
    <row r="365" spans="1:9" ht="13" x14ac:dyDescent="0.3">
      <c r="A365" s="2" t="str">
        <f ca="1">IFERROR(__xludf.DUMMYFUNCTION("""COMPUTED_VALUE"""),"SCOTT RICE-OKLAHOMA CITY")</f>
        <v>SCOTT RICE-OKLAHOMA CITY</v>
      </c>
      <c r="B365" s="3"/>
      <c r="C365" s="2" t="str">
        <f ca="1">IFERROR(__xludf.DUMMYFUNCTION("""COMPUTED_VALUE"""),"*6900 N BRYANT AVE")</f>
        <v>*6900 N BRYANT AVE</v>
      </c>
      <c r="D365" s="2" t="str">
        <f ca="1">IFERROR(__xludf.DUMMYFUNCTION("""COMPUTED_VALUE"""),"OKLAHOMA CITY")</f>
        <v>OKLAHOMA CITY</v>
      </c>
      <c r="E365" s="2" t="str">
        <f ca="1">IFERROR(__xludf.DUMMYFUNCTION("""COMPUTED_VALUE"""),"OK")</f>
        <v>OK</v>
      </c>
      <c r="F365" s="4" t="str">
        <f ca="1">IFERROR(__xludf.DUMMYFUNCTION("""COMPUTED_VALUE"""),"73121")</f>
        <v>73121</v>
      </c>
      <c r="G365" s="2"/>
      <c r="H365" s="2"/>
      <c r="I365" s="2"/>
    </row>
    <row r="366" spans="1:9" ht="13" x14ac:dyDescent="0.3">
      <c r="A366" s="2" t="str">
        <f ca="1">IFERROR(__xludf.DUMMYFUNCTION("""COMPUTED_VALUE"""),"SEATS &amp; STATIONS INC")</f>
        <v>SEATS &amp; STATIONS INC</v>
      </c>
      <c r="B366" s="3"/>
      <c r="C366" s="2" t="str">
        <f ca="1">IFERROR(__xludf.DUMMYFUNCTION("""COMPUTED_VALUE"""),"*1430 BLUE OAKS BLVD STE 150")</f>
        <v>*1430 BLUE OAKS BLVD STE 150</v>
      </c>
      <c r="D366" s="2" t="str">
        <f ca="1">IFERROR(__xludf.DUMMYFUNCTION("""COMPUTED_VALUE"""),"ROSEVILLE")</f>
        <v>ROSEVILLE</v>
      </c>
      <c r="E366" s="2" t="str">
        <f ca="1">IFERROR(__xludf.DUMMYFUNCTION("""COMPUTED_VALUE"""),"CA")</f>
        <v>CA</v>
      </c>
      <c r="F366" s="4" t="str">
        <f ca="1">IFERROR(__xludf.DUMMYFUNCTION("""COMPUTED_VALUE"""),"95747")</f>
        <v>95747</v>
      </c>
      <c r="G366" s="2"/>
      <c r="H366" s="2"/>
      <c r="I366" s="2"/>
    </row>
    <row r="367" spans="1:9" ht="13" x14ac:dyDescent="0.3">
      <c r="A367" s="2" t="str">
        <f ca="1">IFERROR(__xludf.DUMMYFUNCTION("""COMPUTED_VALUE"""),"SEDGWICK BUSINESS INT LLC-ROCHESTER")</f>
        <v>SEDGWICK BUSINESS INT LLC-ROCHESTER</v>
      </c>
      <c r="B367" s="3"/>
      <c r="C367" s="2" t="str">
        <f ca="1">IFERROR(__xludf.DUMMYFUNCTION("""COMPUTED_VALUE"""),"*176 ANDERSON AVE")</f>
        <v>*176 ANDERSON AVE</v>
      </c>
      <c r="D367" s="2" t="str">
        <f ca="1">IFERROR(__xludf.DUMMYFUNCTION("""COMPUTED_VALUE"""),"ROCHESTER")</f>
        <v>ROCHESTER</v>
      </c>
      <c r="E367" s="2" t="str">
        <f ca="1">IFERROR(__xludf.DUMMYFUNCTION("""COMPUTED_VALUE"""),"NY")</f>
        <v>NY</v>
      </c>
      <c r="F367" s="4" t="str">
        <f ca="1">IFERROR(__xludf.DUMMYFUNCTION("""COMPUTED_VALUE"""),"14607")</f>
        <v>14607</v>
      </c>
      <c r="G367" s="2"/>
      <c r="H367" s="2"/>
      <c r="I367" s="2"/>
    </row>
    <row r="368" spans="1:9" ht="13" x14ac:dyDescent="0.3">
      <c r="A368" s="2" t="str">
        <f ca="1">IFERROR(__xludf.DUMMYFUNCTION("""COMPUTED_VALUE"""),"SEDGWICK BUSINESS INT LLC-SYRACUSE")</f>
        <v>SEDGWICK BUSINESS INT LLC-SYRACUSE</v>
      </c>
      <c r="B368" s="3"/>
      <c r="C368" s="2" t="str">
        <f ca="1">IFERROR(__xludf.DUMMYFUNCTION("""COMPUTED_VALUE"""),"*100 W COURT ST")</f>
        <v>*100 W COURT ST</v>
      </c>
      <c r="D368" s="2" t="str">
        <f ca="1">IFERROR(__xludf.DUMMYFUNCTION("""COMPUTED_VALUE"""),"SYRACUSE")</f>
        <v>SYRACUSE</v>
      </c>
      <c r="E368" s="2" t="str">
        <f ca="1">IFERROR(__xludf.DUMMYFUNCTION("""COMPUTED_VALUE"""),"NY")</f>
        <v>NY</v>
      </c>
      <c r="F368" s="4" t="str">
        <f ca="1">IFERROR(__xludf.DUMMYFUNCTION("""COMPUTED_VALUE"""),"13204")</f>
        <v>13204</v>
      </c>
      <c r="G368" s="2"/>
      <c r="H368" s="2"/>
      <c r="I368" s="2"/>
    </row>
    <row r="369" spans="1:9" ht="13" x14ac:dyDescent="0.3">
      <c r="A369" s="2" t="str">
        <f ca="1">IFERROR(__xludf.DUMMYFUNCTION("""COMPUTED_VALUE"""),"SHEEHANS OFFICE INTERIORS")</f>
        <v>SHEEHANS OFFICE INTERIORS</v>
      </c>
      <c r="B369" s="3"/>
      <c r="C369" s="2" t="str">
        <f ca="1">IFERROR(__xludf.DUMMYFUNCTION("""COMPUTED_VALUE"""),"*524 PARK AVENUE  P O BOX 629")</f>
        <v>*524 PARK AVENUE  P O BOX 629</v>
      </c>
      <c r="D369" s="2" t="str">
        <f ca="1">IFERROR(__xludf.DUMMYFUNCTION("""COMPUTED_VALUE"""),"PORTSMOUTH")</f>
        <v>PORTSMOUTH</v>
      </c>
      <c r="E369" s="2" t="str">
        <f ca="1">IFERROR(__xludf.DUMMYFUNCTION("""COMPUTED_VALUE"""),"RI")</f>
        <v>RI</v>
      </c>
      <c r="F369" s="4" t="str">
        <f ca="1">IFERROR(__xludf.DUMMYFUNCTION("""COMPUTED_VALUE"""),"02871")</f>
        <v>02871</v>
      </c>
      <c r="G369" s="2"/>
      <c r="H369" s="2"/>
      <c r="I369" s="2"/>
    </row>
    <row r="370" spans="1:9" ht="26" x14ac:dyDescent="0.3">
      <c r="A370" s="2" t="str">
        <f ca="1">IFERROR(__xludf.DUMMYFUNCTION("""COMPUTED_VALUE"""),"SHELTON KELLER GROUP INC")</f>
        <v>SHELTON KELLER GROUP INC</v>
      </c>
      <c r="B370" s="3" t="str">
        <f ca="1">IFERROR(__xludf.DUMMYFUNCTION("""COMPUTED_VALUE"""),"HUB, WBENC (woman owned)")</f>
        <v>HUB, WBENC (woman owned)</v>
      </c>
      <c r="C370" s="2" t="str">
        <f ca="1">IFERROR(__xludf.DUMMYFUNCTION("""COMPUTED_VALUE"""),"*6301 E STASSNEY LN BLDG 9 STE 100")</f>
        <v>*6301 E STASSNEY LN BLDG 9 STE 100</v>
      </c>
      <c r="D370" s="2" t="str">
        <f ca="1">IFERROR(__xludf.DUMMYFUNCTION("""COMPUTED_VALUE"""),"AUSTIN")</f>
        <v>AUSTIN</v>
      </c>
      <c r="E370" s="2" t="str">
        <f ca="1">IFERROR(__xludf.DUMMYFUNCTION("""COMPUTED_VALUE"""),"TX")</f>
        <v>TX</v>
      </c>
      <c r="F370" s="4" t="str">
        <f ca="1">IFERROR(__xludf.DUMMYFUNCTION("""COMPUTED_VALUE"""),"78744-3069")</f>
        <v>78744-3069</v>
      </c>
      <c r="G370" s="2"/>
      <c r="H370" s="2"/>
      <c r="I370" s="2"/>
    </row>
    <row r="371" spans="1:9" ht="13" x14ac:dyDescent="0.3">
      <c r="A371" s="2" t="str">
        <f ca="1">IFERROR(__xludf.DUMMYFUNCTION("""COMPUTED_VALUE"""),"SHEPPARDS BUSINESS INTERIORS")</f>
        <v>SHEPPARDS BUSINESS INTERIORS</v>
      </c>
      <c r="B371" s="3"/>
      <c r="C371" s="2" t="str">
        <f ca="1">IFERROR(__xludf.DUMMYFUNCTION("""COMPUTED_VALUE"""),"*725 S 72ND ST")</f>
        <v>*725 S 72ND ST</v>
      </c>
      <c r="D371" s="2" t="str">
        <f ca="1">IFERROR(__xludf.DUMMYFUNCTION("""COMPUTED_VALUE"""),"OMAHA")</f>
        <v>OMAHA</v>
      </c>
      <c r="E371" s="2" t="str">
        <f ca="1">IFERROR(__xludf.DUMMYFUNCTION("""COMPUTED_VALUE"""),"NE")</f>
        <v>NE</v>
      </c>
      <c r="F371" s="4" t="str">
        <f ca="1">IFERROR(__xludf.DUMMYFUNCTION("""COMPUTED_VALUE"""),"68114")</f>
        <v>68114</v>
      </c>
      <c r="G371" s="2"/>
      <c r="H371" s="2"/>
      <c r="I371" s="2"/>
    </row>
    <row r="372" spans="1:9" ht="13" x14ac:dyDescent="0.3">
      <c r="A372" s="2" t="str">
        <f ca="1">IFERROR(__xludf.DUMMYFUNCTION("""COMPUTED_VALUE"""),"SHERIDAN GROUP")</f>
        <v>SHERIDAN GROUP</v>
      </c>
      <c r="B372" s="3"/>
      <c r="C372" s="2" t="str">
        <f ca="1">IFERROR(__xludf.DUMMYFUNCTION("""COMPUTED_VALUE"""),"*2045 PONTIUS AVE")</f>
        <v>*2045 PONTIUS AVE</v>
      </c>
      <c r="D372" s="2" t="str">
        <f ca="1">IFERROR(__xludf.DUMMYFUNCTION("""COMPUTED_VALUE"""),"LOS ANGELES")</f>
        <v>LOS ANGELES</v>
      </c>
      <c r="E372" s="2" t="str">
        <f ca="1">IFERROR(__xludf.DUMMYFUNCTION("""COMPUTED_VALUE"""),"CA")</f>
        <v>CA</v>
      </c>
      <c r="F372" s="4" t="str">
        <f ca="1">IFERROR(__xludf.DUMMYFUNCTION("""COMPUTED_VALUE"""),"90025")</f>
        <v>90025</v>
      </c>
      <c r="G372" s="2"/>
      <c r="H372" s="2"/>
      <c r="I372" s="2"/>
    </row>
    <row r="373" spans="1:9" ht="13" x14ac:dyDescent="0.3">
      <c r="A373" s="2" t="str">
        <f ca="1">IFERROR(__xludf.DUMMYFUNCTION("""COMPUTED_VALUE"""),"SJH HOLDINGS INC/FACILITY PLANNERS")</f>
        <v>SJH HOLDINGS INC/FACILITY PLANNERS</v>
      </c>
      <c r="B373" s="3"/>
      <c r="C373" s="2" t="str">
        <f ca="1">IFERROR(__xludf.DUMMYFUNCTION("""COMPUTED_VALUE"""),"*PO BOX 128485")</f>
        <v>*PO BOX 128485</v>
      </c>
      <c r="D373" s="2" t="str">
        <f ca="1">IFERROR(__xludf.DUMMYFUNCTION("""COMPUTED_VALUE"""),"NASHVILLE")</f>
        <v>NASHVILLE</v>
      </c>
      <c r="E373" s="2" t="str">
        <f ca="1">IFERROR(__xludf.DUMMYFUNCTION("""COMPUTED_VALUE"""),"TN")</f>
        <v>TN</v>
      </c>
      <c r="F373" s="4" t="str">
        <f ca="1">IFERROR(__xludf.DUMMYFUNCTION("""COMPUTED_VALUE"""),"37212")</f>
        <v>37212</v>
      </c>
      <c r="G373" s="2"/>
      <c r="H373" s="2"/>
      <c r="I373" s="2"/>
    </row>
    <row r="374" spans="1:9" ht="13" x14ac:dyDescent="0.3">
      <c r="A374" s="2" t="str">
        <f ca="1">IFERROR(__xludf.DUMMYFUNCTION("""COMPUTED_VALUE"""),"SMART OFFICE INTERIORS INC")</f>
        <v>SMART OFFICE INTERIORS INC</v>
      </c>
      <c r="B374" s="3"/>
      <c r="C374" s="2" t="str">
        <f ca="1">IFERROR(__xludf.DUMMYFUNCTION("""COMPUTED_VALUE"""),"*18 ANACAPA ST")</f>
        <v>*18 ANACAPA ST</v>
      </c>
      <c r="D374" s="2" t="str">
        <f ca="1">IFERROR(__xludf.DUMMYFUNCTION("""COMPUTED_VALUE"""),"SANTA BARBARA")</f>
        <v>SANTA BARBARA</v>
      </c>
      <c r="E374" s="2" t="str">
        <f ca="1">IFERROR(__xludf.DUMMYFUNCTION("""COMPUTED_VALUE"""),"CA")</f>
        <v>CA</v>
      </c>
      <c r="F374" s="4" t="str">
        <f ca="1">IFERROR(__xludf.DUMMYFUNCTION("""COMPUTED_VALUE"""),"93101")</f>
        <v>93101</v>
      </c>
      <c r="G374" s="2"/>
      <c r="H374" s="2"/>
      <c r="I374" s="2"/>
    </row>
    <row r="375" spans="1:9" ht="13" x14ac:dyDescent="0.3">
      <c r="A375" s="2" t="str">
        <f ca="1">IFERROR(__xludf.DUMMYFUNCTION("""COMPUTED_VALUE"""),"SMITH CONTRACT")</f>
        <v>SMITH CONTRACT</v>
      </c>
      <c r="B375" s="3"/>
      <c r="C375" s="2" t="str">
        <f ca="1">IFERROR(__xludf.DUMMYFUNCTION("""COMPUTED_VALUE"""),"*604 WILLIAM ST")</f>
        <v>*604 WILLIAM ST</v>
      </c>
      <c r="D375" s="2" t="str">
        <f ca="1">IFERROR(__xludf.DUMMYFUNCTION("""COMPUTED_VALUE"""),"FREDERICKSBURG")</f>
        <v>FREDERICKSBURG</v>
      </c>
      <c r="E375" s="2" t="str">
        <f ca="1">IFERROR(__xludf.DUMMYFUNCTION("""COMPUTED_VALUE"""),"VA")</f>
        <v>VA</v>
      </c>
      <c r="F375" s="4" t="str">
        <f ca="1">IFERROR(__xludf.DUMMYFUNCTION("""COMPUTED_VALUE"""),"22401")</f>
        <v>22401</v>
      </c>
      <c r="G375" s="2"/>
      <c r="H375" s="2"/>
      <c r="I375" s="2"/>
    </row>
    <row r="376" spans="1:9" ht="13" x14ac:dyDescent="0.3">
      <c r="A376" s="2" t="str">
        <f ca="1">IFERROR(__xludf.DUMMYFUNCTION("""COMPUTED_VALUE"""),"SOURCE CREATIVE OFFICE INTERIORS")</f>
        <v>SOURCE CREATIVE OFFICE INTERIORS</v>
      </c>
      <c r="B376" s="3"/>
      <c r="C376" s="2" t="str">
        <f ca="1">IFERROR(__xludf.DUMMYFUNCTION("""COMPUTED_VALUE"""),"*1432 EDINGER AVE STE 220")</f>
        <v>*1432 EDINGER AVE STE 220</v>
      </c>
      <c r="D376" s="2" t="str">
        <f ca="1">IFERROR(__xludf.DUMMYFUNCTION("""COMPUTED_VALUE"""),"TUSTIN")</f>
        <v>TUSTIN</v>
      </c>
      <c r="E376" s="2" t="str">
        <f ca="1">IFERROR(__xludf.DUMMYFUNCTION("""COMPUTED_VALUE"""),"CA")</f>
        <v>CA</v>
      </c>
      <c r="F376" s="4" t="str">
        <f ca="1">IFERROR(__xludf.DUMMYFUNCTION("""COMPUTED_VALUE"""),"92780")</f>
        <v>92780</v>
      </c>
      <c r="G376" s="2"/>
      <c r="H376" s="2"/>
      <c r="I376" s="2"/>
    </row>
    <row r="377" spans="1:9" ht="13" x14ac:dyDescent="0.3">
      <c r="A377" s="2" t="str">
        <f ca="1">IFERROR(__xludf.DUMMYFUNCTION("""COMPUTED_VALUE"""),"SOUTH TEXAS SCHOOL FURNITURE")</f>
        <v>SOUTH TEXAS SCHOOL FURNITURE</v>
      </c>
      <c r="B377" s="3"/>
      <c r="C377" s="2" t="str">
        <f ca="1">IFERROR(__xludf.DUMMYFUNCTION("""COMPUTED_VALUE"""),"*PO BOX 372")</f>
        <v>*PO BOX 372</v>
      </c>
      <c r="D377" s="2" t="str">
        <f ca="1">IFERROR(__xludf.DUMMYFUNCTION("""COMPUTED_VALUE"""),"HALLETTSVILLE")</f>
        <v>HALLETTSVILLE</v>
      </c>
      <c r="E377" s="2" t="str">
        <f ca="1">IFERROR(__xludf.DUMMYFUNCTION("""COMPUTED_VALUE"""),"TX")</f>
        <v>TX</v>
      </c>
      <c r="F377" s="4" t="str">
        <f ca="1">IFERROR(__xludf.DUMMYFUNCTION("""COMPUTED_VALUE"""),"77964")</f>
        <v>77964</v>
      </c>
      <c r="G377" s="2"/>
      <c r="H377" s="2"/>
      <c r="I377" s="2"/>
    </row>
    <row r="378" spans="1:9" ht="26" x14ac:dyDescent="0.3">
      <c r="A378" s="2" t="str">
        <f ca="1">IFERROR(__xludf.DUMMYFUNCTION("""COMPUTED_VALUE"""),"SPACE INC-MI")</f>
        <v>SPACE INC-MI</v>
      </c>
      <c r="B378" s="3" t="str">
        <f ca="1">IFERROR(__xludf.DUMMYFUNCTION("""COMPUTED_VALUE"""),"WBENC / SBA WOSB")</f>
        <v>WBENC / SBA WOSB</v>
      </c>
      <c r="C378" s="2" t="str">
        <f ca="1">IFERROR(__xludf.DUMMYFUNCTION("""COMPUTED_VALUE"""),"*3142 VANTAGE POINT DRIVE")</f>
        <v>*3142 VANTAGE POINT DRIVE</v>
      </c>
      <c r="D378" s="2" t="str">
        <f ca="1">IFERROR(__xludf.DUMMYFUNCTION("""COMPUTED_VALUE"""),"MIDLAND")</f>
        <v>MIDLAND</v>
      </c>
      <c r="E378" s="2" t="str">
        <f ca="1">IFERROR(__xludf.DUMMYFUNCTION("""COMPUTED_VALUE"""),"MI")</f>
        <v>MI</v>
      </c>
      <c r="F378" s="4" t="str">
        <f ca="1">IFERROR(__xludf.DUMMYFUNCTION("""COMPUTED_VALUE"""),"48640")</f>
        <v>48640</v>
      </c>
      <c r="G378" s="2"/>
      <c r="H378" s="2"/>
      <c r="I378" s="2"/>
    </row>
    <row r="379" spans="1:9" ht="26" x14ac:dyDescent="0.3">
      <c r="A379" s="2" t="str">
        <f ca="1">IFERROR(__xludf.DUMMYFUNCTION("""COMPUTED_VALUE"""),"SPACES GROUP LLC-TN")</f>
        <v>SPACES GROUP LLC-TN</v>
      </c>
      <c r="B379" s="3" t="str">
        <f ca="1">IFERROR(__xludf.DUMMYFUNCTION("""COMPUTED_VALUE"""),"certified WBE, SBE, WOB")</f>
        <v>certified WBE, SBE, WOB</v>
      </c>
      <c r="C379" s="2" t="str">
        <f ca="1">IFERROR(__xludf.DUMMYFUNCTION("""COMPUTED_VALUE"""),"*7760 TRINITY RD STE 106")</f>
        <v>*7760 TRINITY RD STE 106</v>
      </c>
      <c r="D379" s="2" t="str">
        <f ca="1">IFERROR(__xludf.DUMMYFUNCTION("""COMPUTED_VALUE"""),"CORDOVA")</f>
        <v>CORDOVA</v>
      </c>
      <c r="E379" s="2" t="str">
        <f ca="1">IFERROR(__xludf.DUMMYFUNCTION("""COMPUTED_VALUE"""),"TN")</f>
        <v>TN</v>
      </c>
      <c r="F379" s="4" t="str">
        <f ca="1">IFERROR(__xludf.DUMMYFUNCTION("""COMPUTED_VALUE"""),"38018")</f>
        <v>38018</v>
      </c>
      <c r="G379" s="2"/>
      <c r="H379" s="2"/>
      <c r="I379" s="2"/>
    </row>
    <row r="380" spans="1:9" ht="13" x14ac:dyDescent="0.3">
      <c r="A380" s="2" t="str">
        <f ca="1">IFERROR(__xludf.DUMMYFUNCTION("""COMPUTED_VALUE"""),"SPACES INC-KS")</f>
        <v>SPACES INC-KS</v>
      </c>
      <c r="B380" s="3"/>
      <c r="C380" s="2" t="str">
        <f ca="1">IFERROR(__xludf.DUMMYFUNCTION("""COMPUTED_VALUE"""),"*14950 W 86TH ST")</f>
        <v>*14950 W 86TH ST</v>
      </c>
      <c r="D380" s="2" t="str">
        <f ca="1">IFERROR(__xludf.DUMMYFUNCTION("""COMPUTED_VALUE"""),"LENEXA")</f>
        <v>LENEXA</v>
      </c>
      <c r="E380" s="2" t="str">
        <f ca="1">IFERROR(__xludf.DUMMYFUNCTION("""COMPUTED_VALUE"""),"KS")</f>
        <v>KS</v>
      </c>
      <c r="F380" s="4" t="str">
        <f ca="1">IFERROR(__xludf.DUMMYFUNCTION("""COMPUTED_VALUE"""),"66215")</f>
        <v>66215</v>
      </c>
      <c r="G380" s="2"/>
      <c r="H380" s="2"/>
      <c r="I380" s="2"/>
    </row>
    <row r="381" spans="1:9" ht="13" x14ac:dyDescent="0.3">
      <c r="A381" s="2" t="str">
        <f ca="1">IFERROR(__xludf.DUMMYFUNCTION("""COMPUTED_VALUE"""),"SPACES INC-OK")</f>
        <v>SPACES INC-OK</v>
      </c>
      <c r="B381" s="3" t="str">
        <f ca="1">IFERROR(__xludf.DUMMYFUNCTION("""COMPUTED_VALUE"""),"s")</f>
        <v>s</v>
      </c>
      <c r="C381" s="2" t="str">
        <f ca="1">IFERROR(__xludf.DUMMYFUNCTION("""COMPUTED_VALUE"""),"*2801 COLTRANE PL STE 1")</f>
        <v>*2801 COLTRANE PL STE 1</v>
      </c>
      <c r="D381" s="2" t="str">
        <f ca="1">IFERROR(__xludf.DUMMYFUNCTION("""COMPUTED_VALUE"""),"EDMOND")</f>
        <v>EDMOND</v>
      </c>
      <c r="E381" s="2" t="str">
        <f ca="1">IFERROR(__xludf.DUMMYFUNCTION("""COMPUTED_VALUE"""),"OK")</f>
        <v>OK</v>
      </c>
      <c r="F381" s="4" t="str">
        <f ca="1">IFERROR(__xludf.DUMMYFUNCTION("""COMPUTED_VALUE"""),"73034")</f>
        <v>73034</v>
      </c>
      <c r="G381" s="2"/>
      <c r="H381" s="2"/>
      <c r="I381" s="2"/>
    </row>
    <row r="382" spans="1:9" ht="13" x14ac:dyDescent="0.3">
      <c r="A382" s="2" t="str">
        <f ca="1">IFERROR(__xludf.DUMMYFUNCTION("""COMPUTED_VALUE"""),"SPECIALIZED MARKETING LTD")</f>
        <v>SPECIALIZED MARKETING LTD</v>
      </c>
      <c r="B382" s="3" t="str">
        <f ca="1">IFERROR(__xludf.DUMMYFUNCTION("""COMPUTED_VALUE"""),"WO")</f>
        <v>WO</v>
      </c>
      <c r="C382" s="2" t="str">
        <f ca="1">IFERROR(__xludf.DUMMYFUNCTION("""COMPUTED_VALUE"""),"*23 WEST ST  3RD FL")</f>
        <v>*23 WEST ST  3RD FL</v>
      </c>
      <c r="D382" s="2" t="str">
        <f ca="1">IFERROR(__xludf.DUMMYFUNCTION("""COMPUTED_VALUE"""),"ANNAPOLIS")</f>
        <v>ANNAPOLIS</v>
      </c>
      <c r="E382" s="2" t="str">
        <f ca="1">IFERROR(__xludf.DUMMYFUNCTION("""COMPUTED_VALUE"""),"MD")</f>
        <v>MD</v>
      </c>
      <c r="F382" s="4" t="str">
        <f ca="1">IFERROR(__xludf.DUMMYFUNCTION("""COMPUTED_VALUE"""),"21401")</f>
        <v>21401</v>
      </c>
      <c r="G382" s="2"/>
      <c r="H382" s="2"/>
      <c r="I382" s="2"/>
    </row>
    <row r="383" spans="1:9" ht="13" x14ac:dyDescent="0.3">
      <c r="A383" s="2" t="str">
        <f ca="1">IFERROR(__xludf.DUMMYFUNCTION("""COMPUTED_VALUE"""),"SPECTRUM")</f>
        <v>SPECTRUM</v>
      </c>
      <c r="B383" s="3" t="str">
        <f ca="1">IFERROR(__xludf.DUMMYFUNCTION("""COMPUTED_VALUE"""),"WO")</f>
        <v>WO</v>
      </c>
      <c r="C383" s="2" t="str">
        <f ca="1">IFERROR(__xludf.DUMMYFUNCTION("""COMPUTED_VALUE"""),"*1122 LONGFORD RD")</f>
        <v>*1122 LONGFORD RD</v>
      </c>
      <c r="D383" s="2" t="str">
        <f ca="1">IFERROR(__xludf.DUMMYFUNCTION("""COMPUTED_VALUE"""),"PHOENIXVILLE")</f>
        <v>PHOENIXVILLE</v>
      </c>
      <c r="E383" s="2" t="str">
        <f ca="1">IFERROR(__xludf.DUMMYFUNCTION("""COMPUTED_VALUE"""),"PA")</f>
        <v>PA</v>
      </c>
      <c r="F383" s="4" t="str">
        <f ca="1">IFERROR(__xludf.DUMMYFUNCTION("""COMPUTED_VALUE"""),"19460")</f>
        <v>19460</v>
      </c>
      <c r="G383" s="2"/>
      <c r="H383" s="2"/>
      <c r="I383" s="2"/>
    </row>
    <row r="384" spans="1:9" ht="13" x14ac:dyDescent="0.3">
      <c r="A384" s="2" t="str">
        <f ca="1">IFERROR(__xludf.DUMMYFUNCTION("""COMPUTED_VALUE"""),"SPENCER &amp; COMPANY")</f>
        <v>SPENCER &amp; COMPANY</v>
      </c>
      <c r="B384" s="3"/>
      <c r="C384" s="2" t="str">
        <f ca="1">IFERROR(__xludf.DUMMYFUNCTION("""COMPUTED_VALUE"""),"*150 TURTLE CREEK BLVD STE 205")</f>
        <v>*150 TURTLE CREEK BLVD STE 205</v>
      </c>
      <c r="D384" s="2" t="str">
        <f ca="1">IFERROR(__xludf.DUMMYFUNCTION("""COMPUTED_VALUE"""),"DALLAS")</f>
        <v>DALLAS</v>
      </c>
      <c r="E384" s="2" t="str">
        <f ca="1">IFERROR(__xludf.DUMMYFUNCTION("""COMPUTED_VALUE"""),"TX")</f>
        <v>TX</v>
      </c>
      <c r="F384" s="4" t="str">
        <f ca="1">IFERROR(__xludf.DUMMYFUNCTION("""COMPUTED_VALUE"""),"75207")</f>
        <v>75207</v>
      </c>
      <c r="G384" s="2"/>
      <c r="H384" s="2"/>
      <c r="I384" s="2"/>
    </row>
    <row r="385" spans="1:9" ht="13" x14ac:dyDescent="0.3">
      <c r="A385" s="2" t="str">
        <f ca="1">IFERROR(__xludf.DUMMYFUNCTION("""COMPUTED_VALUE"""),"STAMFORD OFFICE FURNITURE")</f>
        <v>STAMFORD OFFICE FURNITURE</v>
      </c>
      <c r="B385" s="3"/>
      <c r="C385" s="2" t="str">
        <f ca="1">IFERROR(__xludf.DUMMYFUNCTION("""COMPUTED_VALUE"""),"*328 SELLECK ST")</f>
        <v>*328 SELLECK ST</v>
      </c>
      <c r="D385" s="2" t="str">
        <f ca="1">IFERROR(__xludf.DUMMYFUNCTION("""COMPUTED_VALUE"""),"STAMFORD")</f>
        <v>STAMFORD</v>
      </c>
      <c r="E385" s="2" t="str">
        <f ca="1">IFERROR(__xludf.DUMMYFUNCTION("""COMPUTED_VALUE"""),"CT")</f>
        <v>CT</v>
      </c>
      <c r="F385" s="4" t="str">
        <f ca="1">IFERROR(__xludf.DUMMYFUNCTION("""COMPUTED_VALUE"""),"06902")</f>
        <v>06902</v>
      </c>
      <c r="G385" s="2"/>
      <c r="H385" s="2"/>
      <c r="I385" s="2"/>
    </row>
    <row r="386" spans="1:9" ht="13" x14ac:dyDescent="0.3">
      <c r="A386" s="2" t="str">
        <f ca="1">IFERROR(__xludf.DUMMYFUNCTION("""COMPUTED_VALUE"""),"STANDARD COMMERCIAL INTERIORS")</f>
        <v>STANDARD COMMERCIAL INTERIORS</v>
      </c>
      <c r="B386" s="3"/>
      <c r="C386" s="2" t="str">
        <f ca="1">IFERROR(__xludf.DUMMYFUNCTION("""COMPUTED_VALUE"""),"*DIV OF MMR ENTERPRISES INC  107 CHAMPLAIN ST")</f>
        <v>*DIV OF MMR ENTERPRISES INC  107 CHAMPLAIN ST</v>
      </c>
      <c r="D386" s="2" t="str">
        <f ca="1">IFERROR(__xludf.DUMMYFUNCTION("""COMPUTED_VALUE"""),"ALBANY")</f>
        <v>ALBANY</v>
      </c>
      <c r="E386" s="2" t="str">
        <f ca="1">IFERROR(__xludf.DUMMYFUNCTION("""COMPUTED_VALUE"""),"NY")</f>
        <v>NY</v>
      </c>
      <c r="F386" s="4" t="str">
        <f ca="1">IFERROR(__xludf.DUMMYFUNCTION("""COMPUTED_VALUE"""),"12204")</f>
        <v>12204</v>
      </c>
      <c r="G386" s="2"/>
      <c r="H386" s="2"/>
      <c r="I386" s="2"/>
    </row>
    <row r="387" spans="1:9" ht="13" x14ac:dyDescent="0.3">
      <c r="A387" s="2" t="str">
        <f ca="1">IFERROR(__xludf.DUMMYFUNCTION("""COMPUTED_VALUE"""),"STAPLES BUSINESS ADVANTAGE-HOUSTON DPA signed 10/20/17")</f>
        <v>STAPLES BUSINESS ADVANTAGE-HOUSTON DPA signed 10/20/17</v>
      </c>
      <c r="B387" s="3"/>
      <c r="C387" s="2" t="str">
        <f ca="1">IFERROR(__xludf.DUMMYFUNCTION("""COMPUTED_VALUE"""),"*P O BOX 102422")</f>
        <v>*P O BOX 102422</v>
      </c>
      <c r="D387" s="2" t="str">
        <f ca="1">IFERROR(__xludf.DUMMYFUNCTION("""COMPUTED_VALUE"""),"COLUMBIA")</f>
        <v>COLUMBIA</v>
      </c>
      <c r="E387" s="2" t="str">
        <f ca="1">IFERROR(__xludf.DUMMYFUNCTION("""COMPUTED_VALUE"""),"SC")</f>
        <v>SC</v>
      </c>
      <c r="F387" s="4" t="str">
        <f ca="1">IFERROR(__xludf.DUMMYFUNCTION("""COMPUTED_VALUE"""),"29224")</f>
        <v>29224</v>
      </c>
      <c r="G387" s="2"/>
      <c r="H387" s="2"/>
      <c r="I387" s="2"/>
    </row>
    <row r="388" spans="1:9" ht="13" x14ac:dyDescent="0.3">
      <c r="A388" s="2" t="str">
        <f ca="1">IFERROR(__xludf.DUMMYFUNCTION("""COMPUTED_VALUE"""),"STATE UNIVERSITY OF NY AT BINGHAMTON")</f>
        <v>STATE UNIVERSITY OF NY AT BINGHAMTON</v>
      </c>
      <c r="B388" s="3"/>
      <c r="C388" s="2" t="str">
        <f ca="1">IFERROR(__xludf.DUMMYFUNCTION("""COMPUTED_VALUE"""),"*P O BOX 6000 ACCOUNTS PAYABLE")</f>
        <v>*P O BOX 6000 ACCOUNTS PAYABLE</v>
      </c>
      <c r="D388" s="2" t="str">
        <f ca="1">IFERROR(__xludf.DUMMYFUNCTION("""COMPUTED_VALUE"""),"BINGHAMTON")</f>
        <v>BINGHAMTON</v>
      </c>
      <c r="E388" s="2" t="str">
        <f ca="1">IFERROR(__xludf.DUMMYFUNCTION("""COMPUTED_VALUE"""),"NY")</f>
        <v>NY</v>
      </c>
      <c r="F388" s="4" t="str">
        <f ca="1">IFERROR(__xludf.DUMMYFUNCTION("""COMPUTED_VALUE"""),"13902-6000")</f>
        <v>13902-6000</v>
      </c>
      <c r="G388" s="2"/>
      <c r="H388" s="2"/>
      <c r="I388" s="2"/>
    </row>
    <row r="389" spans="1:9" ht="13" x14ac:dyDescent="0.3">
      <c r="A389" s="2" t="str">
        <f ca="1">IFERROR(__xludf.DUMMYFUNCTION("""COMPUTED_VALUE"""),"STILES OFFICE SOLUTIONS")</f>
        <v>STILES OFFICE SOLUTIONS</v>
      </c>
      <c r="B389" s="3" t="str">
        <f ca="1">IFERROR(__xludf.DUMMYFUNCTION("""COMPUTED_VALUE"""),"WO, HUB, WBE")</f>
        <v>WO, HUB, WBE</v>
      </c>
      <c r="C389" s="2" t="str">
        <f ca="1">IFERROR(__xludf.DUMMYFUNCTION("""COMPUTED_VALUE"""),"*601 W INDUSTRIAL PARK RD")</f>
        <v>*601 W INDUSTRIAL PARK RD</v>
      </c>
      <c r="D389" s="2" t="str">
        <f ca="1">IFERROR(__xludf.DUMMYFUNCTION("""COMPUTED_VALUE"""),"CARBONDALE")</f>
        <v>CARBONDALE</v>
      </c>
      <c r="E389" s="2" t="str">
        <f ca="1">IFERROR(__xludf.DUMMYFUNCTION("""COMPUTED_VALUE"""),"IL")</f>
        <v>IL</v>
      </c>
      <c r="F389" s="4" t="str">
        <f ca="1">IFERROR(__xludf.DUMMYFUNCTION("""COMPUTED_VALUE"""),"62901")</f>
        <v>62901</v>
      </c>
      <c r="G389" s="2"/>
      <c r="H389" s="2"/>
      <c r="I389" s="2"/>
    </row>
    <row r="390" spans="1:9" ht="13" x14ac:dyDescent="0.3">
      <c r="A390" s="2" t="str">
        <f ca="1">IFERROR(__xludf.DUMMYFUNCTION("""COMPUTED_VALUE"""),"STOREY KENWORTHY COMPANY")</f>
        <v>STOREY KENWORTHY COMPANY</v>
      </c>
      <c r="B390" s="3"/>
      <c r="C390" s="2" t="str">
        <f ca="1">IFERROR(__xludf.DUMMYFUNCTION("""COMPUTED_VALUE"""),"*309 LOCUST ST")</f>
        <v>*309 LOCUST ST</v>
      </c>
      <c r="D390" s="2" t="str">
        <f ca="1">IFERROR(__xludf.DUMMYFUNCTION("""COMPUTED_VALUE"""),"DES MOINES")</f>
        <v>DES MOINES</v>
      </c>
      <c r="E390" s="2" t="str">
        <f ca="1">IFERROR(__xludf.DUMMYFUNCTION("""COMPUTED_VALUE"""),"IA")</f>
        <v>IA</v>
      </c>
      <c r="F390" s="4" t="str">
        <f ca="1">IFERROR(__xludf.DUMMYFUNCTION("""COMPUTED_VALUE"""),"50309")</f>
        <v>50309</v>
      </c>
      <c r="G390" s="2"/>
      <c r="H390" s="2"/>
      <c r="I390" s="2"/>
    </row>
    <row r="391" spans="1:9" ht="13" x14ac:dyDescent="0.3">
      <c r="A391" s="2" t="str">
        <f ca="1">IFERROR(__xludf.DUMMYFUNCTION("""COMPUTED_VALUE"""),"STORR OFFICE ENVIRONMENTS INC-RALEIGH")</f>
        <v>STORR OFFICE ENVIRONMENTS INC-RALEIGH</v>
      </c>
      <c r="B391" s="3"/>
      <c r="C391" s="2" t="str">
        <f ca="1">IFERROR(__xludf.DUMMYFUNCTION("""COMPUTED_VALUE"""),"*10800 WORLD TRADE BLVD")</f>
        <v>*10800 WORLD TRADE BLVD</v>
      </c>
      <c r="D391" s="2" t="str">
        <f ca="1">IFERROR(__xludf.DUMMYFUNCTION("""COMPUTED_VALUE"""),"RALEIGH")</f>
        <v>RALEIGH</v>
      </c>
      <c r="E391" s="2" t="str">
        <f ca="1">IFERROR(__xludf.DUMMYFUNCTION("""COMPUTED_VALUE"""),"NC")</f>
        <v>NC</v>
      </c>
      <c r="F391" s="4" t="str">
        <f ca="1">IFERROR(__xludf.DUMMYFUNCTION("""COMPUTED_VALUE"""),"27617")</f>
        <v>27617</v>
      </c>
      <c r="G391" s="2"/>
      <c r="H391" s="2"/>
      <c r="I391" s="2"/>
    </row>
    <row r="392" spans="1:9" ht="13" x14ac:dyDescent="0.3">
      <c r="A392" s="2" t="str">
        <f ca="1">IFERROR(__xludf.DUMMYFUNCTION("""COMPUTED_VALUE"""),"SULLIVANS OFFICE SUPPLY INC-MS")</f>
        <v>SULLIVANS OFFICE SUPPLY INC-MS</v>
      </c>
      <c r="B392" s="3"/>
      <c r="C392" s="2" t="str">
        <f ca="1">IFERROR(__xludf.DUMMYFUNCTION("""COMPUTED_VALUE"""),"*P O BOX 1007")</f>
        <v>*P O BOX 1007</v>
      </c>
      <c r="D392" s="2" t="str">
        <f ca="1">IFERROR(__xludf.DUMMYFUNCTION("""COMPUTED_VALUE"""),"STARKVILLE")</f>
        <v>STARKVILLE</v>
      </c>
      <c r="E392" s="2" t="str">
        <f ca="1">IFERROR(__xludf.DUMMYFUNCTION("""COMPUTED_VALUE"""),"MS")</f>
        <v>MS</v>
      </c>
      <c r="F392" s="4" t="str">
        <f ca="1">IFERROR(__xludf.DUMMYFUNCTION("""COMPUTED_VALUE"""),"39760-1007")</f>
        <v>39760-1007</v>
      </c>
      <c r="G392" s="2"/>
      <c r="H392" s="2"/>
      <c r="I392" s="2"/>
    </row>
    <row r="393" spans="1:9" ht="13" x14ac:dyDescent="0.3">
      <c r="A393" s="2" t="str">
        <f ca="1">IFERROR(__xludf.DUMMYFUNCTION("""COMPUTED_VALUE"""),"SUPPLY SOURCE INC-HARRISBURG")</f>
        <v>SUPPLY SOURCE INC-HARRISBURG</v>
      </c>
      <c r="B393" s="3" t="str">
        <f ca="1">IFERROR(__xludf.DUMMYFUNCTION("""COMPUTED_VALUE"""),"Minority owned")</f>
        <v>Minority owned</v>
      </c>
      <c r="C393" s="2" t="str">
        <f ca="1">IFERROR(__xludf.DUMMYFUNCTION("""COMPUTED_VALUE"""),"*415 W 3RD ST")</f>
        <v>*415 W 3RD ST</v>
      </c>
      <c r="D393" s="2" t="str">
        <f ca="1">IFERROR(__xludf.DUMMYFUNCTION("""COMPUTED_VALUE"""),"WILLIAMSPORT")</f>
        <v>WILLIAMSPORT</v>
      </c>
      <c r="E393" s="2" t="str">
        <f ca="1">IFERROR(__xludf.DUMMYFUNCTION("""COMPUTED_VALUE"""),"PA")</f>
        <v>PA</v>
      </c>
      <c r="F393" s="4" t="str">
        <f ca="1">IFERROR(__xludf.DUMMYFUNCTION("""COMPUTED_VALUE"""),"17701")</f>
        <v>17701</v>
      </c>
      <c r="G393" s="2"/>
      <c r="H393" s="2"/>
      <c r="I393" s="2"/>
    </row>
    <row r="394" spans="1:9" ht="13" x14ac:dyDescent="0.3">
      <c r="A394" s="2" t="str">
        <f ca="1">IFERROR(__xludf.DUMMYFUNCTION("""COMPUTED_VALUE"""),"SUPPLY SOURCE INC-W PA")</f>
        <v>SUPPLY SOURCE INC-W PA</v>
      </c>
      <c r="B394" s="3" t="str">
        <f ca="1">IFERROR(__xludf.DUMMYFUNCTION("""COMPUTED_VALUE"""),"s/d ")</f>
        <v xml:space="preserve">s/d </v>
      </c>
      <c r="C394" s="2" t="str">
        <f ca="1">IFERROR(__xludf.DUMMYFUNCTION("""COMPUTED_VALUE"""),"*415 W 3RD ST")</f>
        <v>*415 W 3RD ST</v>
      </c>
      <c r="D394" s="2" t="str">
        <f ca="1">IFERROR(__xludf.DUMMYFUNCTION("""COMPUTED_VALUE"""),"WILLIAMSPORT")</f>
        <v>WILLIAMSPORT</v>
      </c>
      <c r="E394" s="2" t="str">
        <f ca="1">IFERROR(__xludf.DUMMYFUNCTION("""COMPUTED_VALUE"""),"PA")</f>
        <v>PA</v>
      </c>
      <c r="F394" s="4" t="str">
        <f ca="1">IFERROR(__xludf.DUMMYFUNCTION("""COMPUTED_VALUE"""),"17701")</f>
        <v>17701</v>
      </c>
      <c r="G394" s="2"/>
      <c r="H394" s="2"/>
      <c r="I394" s="2"/>
    </row>
    <row r="395" spans="1:9" ht="13" x14ac:dyDescent="0.3">
      <c r="A395" s="2" t="str">
        <f ca="1">IFERROR(__xludf.DUMMYFUNCTION("""COMPUTED_VALUE"""),"SYNERGY BUSINESS ENVIRONMENTS")</f>
        <v>SYNERGY BUSINESS ENVIRONMENTS</v>
      </c>
      <c r="B395" s="3"/>
      <c r="C395" s="2" t="str">
        <f ca="1">IFERROR(__xludf.DUMMYFUNCTION("""COMPUTED_VALUE"""),"*800 6TH AVE S STE 200")</f>
        <v>*800 6TH AVE S STE 200</v>
      </c>
      <c r="D395" s="2" t="str">
        <f ca="1">IFERROR(__xludf.DUMMYFUNCTION("""COMPUTED_VALUE"""),"NASHVILLE")</f>
        <v>NASHVILLE</v>
      </c>
      <c r="E395" s="2" t="str">
        <f ca="1">IFERROR(__xludf.DUMMYFUNCTION("""COMPUTED_VALUE"""),"TN")</f>
        <v>TN</v>
      </c>
      <c r="F395" s="4" t="str">
        <f ca="1">IFERROR(__xludf.DUMMYFUNCTION("""COMPUTED_VALUE"""),"37203")</f>
        <v>37203</v>
      </c>
      <c r="G395" s="2"/>
      <c r="H395" s="2"/>
      <c r="I395" s="2"/>
    </row>
    <row r="396" spans="1:9" ht="13" x14ac:dyDescent="0.3">
      <c r="A396" s="2" t="str">
        <f ca="1">IFERROR(__xludf.DUMMYFUNCTION("""COMPUTED_VALUE"""),"SYSTEMS FURNITURE INC")</f>
        <v>SYSTEMS FURNITURE INC</v>
      </c>
      <c r="B396" s="3"/>
      <c r="C396" s="2" t="str">
        <f ca="1">IFERROR(__xludf.DUMMYFUNCTION("""COMPUTED_VALUE"""),"*125 S BROADWAY")</f>
        <v>*125 S BROADWAY</v>
      </c>
      <c r="D396" s="2" t="str">
        <f ca="1">IFERROR(__xludf.DUMMYFUNCTION("""COMPUTED_VALUE"""),"DE PERE")</f>
        <v>DE PERE</v>
      </c>
      <c r="E396" s="2" t="str">
        <f ca="1">IFERROR(__xludf.DUMMYFUNCTION("""COMPUTED_VALUE"""),"WI")</f>
        <v>WI</v>
      </c>
      <c r="F396" s="4" t="str">
        <f ca="1">IFERROR(__xludf.DUMMYFUNCTION("""COMPUTED_VALUE"""),"54115")</f>
        <v>54115</v>
      </c>
      <c r="G396" s="2"/>
      <c r="H396" s="2"/>
      <c r="I396" s="2"/>
    </row>
    <row r="397" spans="1:9" ht="13" x14ac:dyDescent="0.3">
      <c r="A397" s="2" t="str">
        <f ca="1">IFERROR(__xludf.DUMMYFUNCTION("""COMPUTED_VALUE"""),"TANGRAM INTERIORS-FRESNO")</f>
        <v>TANGRAM INTERIORS-FRESNO</v>
      </c>
      <c r="B397" s="3"/>
      <c r="C397" s="2" t="str">
        <f ca="1">IFERROR(__xludf.DUMMYFUNCTION("""COMPUTED_VALUE"""),"*9200 SORENSEN AVE")</f>
        <v>*9200 SORENSEN AVE</v>
      </c>
      <c r="D397" s="2" t="str">
        <f ca="1">IFERROR(__xludf.DUMMYFUNCTION("""COMPUTED_VALUE"""),"SANTA FE SPRINGS")</f>
        <v>SANTA FE SPRINGS</v>
      </c>
      <c r="E397" s="2" t="str">
        <f ca="1">IFERROR(__xludf.DUMMYFUNCTION("""COMPUTED_VALUE"""),"CA")</f>
        <v>CA</v>
      </c>
      <c r="F397" s="4" t="str">
        <f ca="1">IFERROR(__xludf.DUMMYFUNCTION("""COMPUTED_VALUE"""),"90670")</f>
        <v>90670</v>
      </c>
      <c r="G397" s="2"/>
      <c r="H397" s="2"/>
      <c r="I397" s="2"/>
    </row>
    <row r="398" spans="1:9" ht="13" x14ac:dyDescent="0.3">
      <c r="A398" s="2" t="str">
        <f ca="1">IFERROR(__xludf.DUMMYFUNCTION("""COMPUTED_VALUE"""),"TANGRAM INTERIORS-SANTA FE SPRINGS")</f>
        <v>TANGRAM INTERIORS-SANTA FE SPRINGS</v>
      </c>
      <c r="B398" s="3"/>
      <c r="C398" s="2" t="str">
        <f ca="1">IFERROR(__xludf.DUMMYFUNCTION("""COMPUTED_VALUE"""),"*9200 SORENSEN AVE")</f>
        <v>*9200 SORENSEN AVE</v>
      </c>
      <c r="D398" s="2" t="str">
        <f ca="1">IFERROR(__xludf.DUMMYFUNCTION("""COMPUTED_VALUE"""),"SANTA FE SPRINGS")</f>
        <v>SANTA FE SPRINGS</v>
      </c>
      <c r="E398" s="2" t="str">
        <f ca="1">IFERROR(__xludf.DUMMYFUNCTION("""COMPUTED_VALUE"""),"CA")</f>
        <v>CA</v>
      </c>
      <c r="F398" s="4" t="str">
        <f ca="1">IFERROR(__xludf.DUMMYFUNCTION("""COMPUTED_VALUE"""),"90670")</f>
        <v>90670</v>
      </c>
      <c r="G398" s="2"/>
      <c r="H398" s="2"/>
      <c r="I398" s="2"/>
    </row>
    <row r="399" spans="1:9" ht="13" x14ac:dyDescent="0.3">
      <c r="A399" s="2" t="str">
        <f ca="1">IFERROR(__xludf.DUMMYFUNCTION("""COMPUTED_VALUE"""),"TEXAS WILSON OFC FURN &amp; SRV (CAPROCK)")</f>
        <v>TEXAS WILSON OFC FURN &amp; SRV (CAPROCK)</v>
      </c>
      <c r="B399" s="3" t="str">
        <f ca="1">IFERROR(__xludf.DUMMYFUNCTION("""COMPUTED_VALUE"""),"Hubzone")</f>
        <v>Hubzone</v>
      </c>
      <c r="C399" s="2" t="str">
        <f ca="1">IFERROR(__xludf.DUMMYFUNCTION("""COMPUTED_VALUE"""),"*6812 FAIRGROUNDS PKWY")</f>
        <v>*6812 FAIRGROUNDS PKWY</v>
      </c>
      <c r="D399" s="2" t="str">
        <f ca="1">IFERROR(__xludf.DUMMYFUNCTION("""COMPUTED_VALUE"""),"SAN ANTONIO")</f>
        <v>SAN ANTONIO</v>
      </c>
      <c r="E399" s="2" t="str">
        <f ca="1">IFERROR(__xludf.DUMMYFUNCTION("""COMPUTED_VALUE"""),"TX")</f>
        <v>TX</v>
      </c>
      <c r="F399" s="4" t="str">
        <f ca="1">IFERROR(__xludf.DUMMYFUNCTION("""COMPUTED_VALUE"""),"78238")</f>
        <v>78238</v>
      </c>
      <c r="G399" s="2"/>
      <c r="H399" s="2"/>
      <c r="I399" s="2"/>
    </row>
    <row r="400" spans="1:9" ht="13" x14ac:dyDescent="0.3">
      <c r="A400" s="2" t="str">
        <f ca="1">IFERROR(__xludf.DUMMYFUNCTION("""COMPUTED_VALUE"""),"THE BEAUX-ARTS GROUP")</f>
        <v>THE BEAUX-ARTS GROUP</v>
      </c>
      <c r="B400" s="3"/>
      <c r="C400" s="2" t="str">
        <f ca="1">IFERROR(__xludf.DUMMYFUNCTION("""COMPUTED_VALUE"""),"*400 N ASHLEY DR STE 800")</f>
        <v>*400 N ASHLEY DR STE 800</v>
      </c>
      <c r="D400" s="2" t="str">
        <f ca="1">IFERROR(__xludf.DUMMYFUNCTION("""COMPUTED_VALUE"""),"TAMPA")</f>
        <v>TAMPA</v>
      </c>
      <c r="E400" s="2" t="str">
        <f ca="1">IFERROR(__xludf.DUMMYFUNCTION("""COMPUTED_VALUE"""),"FL")</f>
        <v>FL</v>
      </c>
      <c r="F400" s="4" t="str">
        <f ca="1">IFERROR(__xludf.DUMMYFUNCTION("""COMPUTED_VALUE"""),"33602")</f>
        <v>33602</v>
      </c>
      <c r="G400" s="2"/>
      <c r="H400" s="2"/>
      <c r="I400" s="2"/>
    </row>
    <row r="401" spans="1:9" ht="13" x14ac:dyDescent="0.3">
      <c r="A401" s="2" t="str">
        <f ca="1">IFERROR(__xludf.DUMMYFUNCTION("""COMPUTED_VALUE"""),"THE SUPPLY ROOM/MEGA OFFICE")</f>
        <v>THE SUPPLY ROOM/MEGA OFFICE</v>
      </c>
      <c r="B401" s="3"/>
      <c r="C401" s="2" t="str">
        <f ca="1">IFERROR(__xludf.DUMMYFUNCTION("""COMPUTED_VALUE"""),"*PO BOX 1810")</f>
        <v>*PO BOX 1810</v>
      </c>
      <c r="D401" s="2" t="str">
        <f ca="1">IFERROR(__xludf.DUMMYFUNCTION("""COMPUTED_VALUE"""),"ASHLAND")</f>
        <v>ASHLAND</v>
      </c>
      <c r="E401" s="2" t="str">
        <f ca="1">IFERROR(__xludf.DUMMYFUNCTION("""COMPUTED_VALUE"""),"VA")</f>
        <v>VA</v>
      </c>
      <c r="F401" s="4" t="str">
        <f ca="1">IFERROR(__xludf.DUMMYFUNCTION("""COMPUTED_VALUE"""),"23005")</f>
        <v>23005</v>
      </c>
      <c r="G401" s="2"/>
      <c r="H401" s="2"/>
      <c r="I401" s="2"/>
    </row>
    <row r="402" spans="1:9" ht="13" x14ac:dyDescent="0.3">
      <c r="A402" s="2" t="str">
        <f ca="1">IFERROR(__xludf.DUMMYFUNCTION("""COMPUTED_VALUE"""),"THE TELCAR GROUP")</f>
        <v>THE TELCAR GROUP</v>
      </c>
      <c r="B402" s="3"/>
      <c r="C402" s="2" t="str">
        <f ca="1">IFERROR(__xludf.DUMMYFUNCTION("""COMPUTED_VALUE"""),"*25 ANDREA RD")</f>
        <v>*25 ANDREA RD</v>
      </c>
      <c r="D402" s="2" t="str">
        <f ca="1">IFERROR(__xludf.DUMMYFUNCTION("""COMPUTED_VALUE"""),"HOLBROOK")</f>
        <v>HOLBROOK</v>
      </c>
      <c r="E402" s="2" t="str">
        <f ca="1">IFERROR(__xludf.DUMMYFUNCTION("""COMPUTED_VALUE"""),"NY")</f>
        <v>NY</v>
      </c>
      <c r="F402" s="4" t="str">
        <f ca="1">IFERROR(__xludf.DUMMYFUNCTION("""COMPUTED_VALUE"""),"11741")</f>
        <v>11741</v>
      </c>
      <c r="G402" s="2"/>
      <c r="H402" s="2"/>
      <c r="I402" s="2"/>
    </row>
    <row r="403" spans="1:9" ht="13" x14ac:dyDescent="0.3">
      <c r="A403" s="2" t="str">
        <f ca="1">IFERROR(__xludf.DUMMYFUNCTION("""COMPUTED_VALUE"""),"THIEMANN OFFICE PRODUCTS INC")</f>
        <v>THIEMANN OFFICE PRODUCTS INC</v>
      </c>
      <c r="B403" s="3"/>
      <c r="C403" s="2" t="str">
        <f ca="1">IFERROR(__xludf.DUMMYFUNCTION("""COMPUTED_VALUE"""),"*PO BOX 9448")</f>
        <v>*PO BOX 9448</v>
      </c>
      <c r="D403" s="2" t="str">
        <f ca="1">IFERROR(__xludf.DUMMYFUNCTION("""COMPUTED_VALUE"""),"TERRE HAUTE")</f>
        <v>TERRE HAUTE</v>
      </c>
      <c r="E403" s="2" t="str">
        <f ca="1">IFERROR(__xludf.DUMMYFUNCTION("""COMPUTED_VALUE"""),"IN")</f>
        <v>IN</v>
      </c>
      <c r="F403" s="4" t="str">
        <f ca="1">IFERROR(__xludf.DUMMYFUNCTION("""COMPUTED_VALUE"""),"47808")</f>
        <v>47808</v>
      </c>
      <c r="G403" s="2"/>
      <c r="H403" s="2"/>
      <c r="I403" s="2"/>
    </row>
    <row r="404" spans="1:9" ht="13" x14ac:dyDescent="0.3">
      <c r="A404" s="2" t="str">
        <f ca="1">IFERROR(__xludf.DUMMYFUNCTION("""COMPUTED_VALUE"""),"THOMAS INTERIOR SYSTEMS INC")</f>
        <v>THOMAS INTERIOR SYSTEMS INC</v>
      </c>
      <c r="B404" s="3"/>
      <c r="C404" s="2" t="str">
        <f ca="1">IFERROR(__xludf.DUMMYFUNCTION("""COMPUTED_VALUE"""),"*476 BRIGHTON DR")</f>
        <v>*476 BRIGHTON DR</v>
      </c>
      <c r="D404" s="2" t="str">
        <f ca="1">IFERROR(__xludf.DUMMYFUNCTION("""COMPUTED_VALUE"""),"BLOOMINGDALE")</f>
        <v>BLOOMINGDALE</v>
      </c>
      <c r="E404" s="2" t="str">
        <f ca="1">IFERROR(__xludf.DUMMYFUNCTION("""COMPUTED_VALUE"""),"IL")</f>
        <v>IL</v>
      </c>
      <c r="F404" s="4" t="str">
        <f ca="1">IFERROR(__xludf.DUMMYFUNCTION("""COMPUTED_VALUE"""),"60108-3100")</f>
        <v>60108-3100</v>
      </c>
      <c r="G404" s="2"/>
      <c r="H404" s="2"/>
      <c r="I404" s="2"/>
    </row>
    <row r="405" spans="1:9" ht="13" x14ac:dyDescent="0.3">
      <c r="A405" s="2" t="str">
        <f ca="1">IFERROR(__xludf.DUMMYFUNCTION("""COMPUTED_VALUE"""),"TODAYS OFFICE - LITTLE ROCK")</f>
        <v>TODAYS OFFICE - LITTLE ROCK</v>
      </c>
      <c r="B405" s="3"/>
      <c r="C405" s="2" t="str">
        <f ca="1">IFERROR(__xludf.DUMMYFUNCTION("""COMPUTED_VALUE"""),"*717 W 7TH ST")</f>
        <v>*717 W 7TH ST</v>
      </c>
      <c r="D405" s="2" t="str">
        <f ca="1">IFERROR(__xludf.DUMMYFUNCTION("""COMPUTED_VALUE"""),"LITTLE ROCK")</f>
        <v>LITTLE ROCK</v>
      </c>
      <c r="E405" s="2" t="str">
        <f ca="1">IFERROR(__xludf.DUMMYFUNCTION("""COMPUTED_VALUE"""),"AR")</f>
        <v>AR</v>
      </c>
      <c r="F405" s="4" t="str">
        <f ca="1">IFERROR(__xludf.DUMMYFUNCTION("""COMPUTED_VALUE"""),"72201")</f>
        <v>72201</v>
      </c>
      <c r="G405" s="2"/>
      <c r="H405" s="2"/>
      <c r="I405" s="2"/>
    </row>
    <row r="406" spans="1:9" ht="13" x14ac:dyDescent="0.3">
      <c r="A406" s="2" t="str">
        <f ca="1">IFERROR(__xludf.DUMMYFUNCTION("""COMPUTED_VALUE"""),"TOTAL OFFICE SOLUTIONS-TX")</f>
        <v>TOTAL OFFICE SOLUTIONS-TX</v>
      </c>
      <c r="B406" s="3"/>
      <c r="C406" s="2" t="str">
        <f ca="1">IFERROR(__xludf.DUMMYFUNCTION("""COMPUTED_VALUE"""),"*3615 FRANKLIN AVE #328")</f>
        <v>*3615 FRANKLIN AVE #328</v>
      </c>
      <c r="D406" s="2" t="str">
        <f ca="1">IFERROR(__xludf.DUMMYFUNCTION("""COMPUTED_VALUE"""),"WACO")</f>
        <v>WACO</v>
      </c>
      <c r="E406" s="4" t="str">
        <f ca="1">IFERROR(__xludf.DUMMYFUNCTION("""COMPUTED_VALUE"""),"TX")</f>
        <v>TX</v>
      </c>
      <c r="F406" s="4" t="str">
        <f ca="1">IFERROR(__xludf.DUMMYFUNCTION("""COMPUTED_VALUE"""),"76710-7364")</f>
        <v>76710-7364</v>
      </c>
      <c r="G406" s="2"/>
      <c r="H406" s="2"/>
      <c r="I406" s="2"/>
    </row>
    <row r="407" spans="1:9" ht="13" x14ac:dyDescent="0.3">
      <c r="A407" s="2" t="str">
        <f ca="1">IFERROR(__xludf.DUMMYFUNCTION("""COMPUTED_VALUE"""),"TRANSACT COMMERCIAL FURNISHINGS INC")</f>
        <v>TRANSACT COMMERCIAL FURNISHINGS INC</v>
      </c>
      <c r="B407" s="3" t="str">
        <f ca="1">IFERROR(__xludf.DUMMYFUNCTION("""COMPUTED_VALUE"""),"SBA  s/d")</f>
        <v>SBA  s/d</v>
      </c>
      <c r="C407" s="2" t="str">
        <f ca="1">IFERROR(__xludf.DUMMYFUNCTION("""COMPUTED_VALUE"""),"*2034 N 3RD ST")</f>
        <v>*2034 N 3RD ST</v>
      </c>
      <c r="D407" s="2" t="str">
        <f ca="1">IFERROR(__xludf.DUMMYFUNCTION("""COMPUTED_VALUE"""),"PHOENIX")</f>
        <v>PHOENIX</v>
      </c>
      <c r="E407" s="2" t="str">
        <f ca="1">IFERROR(__xludf.DUMMYFUNCTION("""COMPUTED_VALUE"""),"AZ")</f>
        <v>AZ</v>
      </c>
      <c r="F407" s="4" t="str">
        <f ca="1">IFERROR(__xludf.DUMMYFUNCTION("""COMPUTED_VALUE"""),"85004")</f>
        <v>85004</v>
      </c>
      <c r="G407" s="2"/>
      <c r="H407" s="2"/>
      <c r="I407" s="2"/>
    </row>
    <row r="408" spans="1:9" ht="13" x14ac:dyDescent="0.3">
      <c r="A408" s="2" t="str">
        <f ca="1">IFERROR(__xludf.DUMMYFUNCTION("""COMPUTED_VALUE"""),"TRANSAMERICAN OFFICE FURN CO-PHILLY")</f>
        <v>TRANSAMERICAN OFFICE FURN CO-PHILLY</v>
      </c>
      <c r="B408" s="3"/>
      <c r="C408" s="2" t="str">
        <f ca="1">IFERROR(__xludf.DUMMYFUNCTION("""COMPUTED_VALUE"""),"*3800 MAIN ST")</f>
        <v>*3800 MAIN ST</v>
      </c>
      <c r="D408" s="2" t="str">
        <f ca="1">IFERROR(__xludf.DUMMYFUNCTION("""COMPUTED_VALUE"""),"PHILADELPHIA")</f>
        <v>PHILADELPHIA</v>
      </c>
      <c r="E408" s="2" t="str">
        <f ca="1">IFERROR(__xludf.DUMMYFUNCTION("""COMPUTED_VALUE"""),"PA")</f>
        <v>PA</v>
      </c>
      <c r="F408" s="4" t="str">
        <f ca="1">IFERROR(__xludf.DUMMYFUNCTION("""COMPUTED_VALUE"""),"19127")</f>
        <v>19127</v>
      </c>
      <c r="G408" s="2"/>
      <c r="H408" s="2"/>
      <c r="I408" s="2"/>
    </row>
    <row r="409" spans="1:9" ht="13" x14ac:dyDescent="0.3">
      <c r="A409" s="2" t="str">
        <f ca="1">IFERROR(__xludf.DUMMYFUNCTION("""COMPUTED_VALUE"""),"TRI-COUNTY OFC FURN INC-SANTA BARBARA")</f>
        <v>TRI-COUNTY OFC FURN INC-SANTA BARBARA</v>
      </c>
      <c r="B409" s="3"/>
      <c r="C409" s="2" t="str">
        <f ca="1">IFERROR(__xludf.DUMMYFUNCTION("""COMPUTED_VALUE"""),"*230 SANTA BARBARA ST")</f>
        <v>*230 SANTA BARBARA ST</v>
      </c>
      <c r="D409" s="2" t="str">
        <f ca="1">IFERROR(__xludf.DUMMYFUNCTION("""COMPUTED_VALUE"""),"SANTA BARBARA")</f>
        <v>SANTA BARBARA</v>
      </c>
      <c r="E409" s="2" t="str">
        <f ca="1">IFERROR(__xludf.DUMMYFUNCTION("""COMPUTED_VALUE"""),"CA")</f>
        <v>CA</v>
      </c>
      <c r="F409" s="4" t="str">
        <f ca="1">IFERROR(__xludf.DUMMYFUNCTION("""COMPUTED_VALUE"""),"93101")</f>
        <v>93101</v>
      </c>
      <c r="G409" s="2"/>
      <c r="H409" s="2"/>
      <c r="I409" s="2"/>
    </row>
    <row r="410" spans="1:9" ht="13" x14ac:dyDescent="0.3">
      <c r="A410" s="2" t="str">
        <f ca="1">IFERROR(__xludf.DUMMYFUNCTION("""COMPUTED_VALUE"""),"TROPE GROUP INC")</f>
        <v>TROPE GROUP INC</v>
      </c>
      <c r="B410" s="3"/>
      <c r="C410" s="2" t="str">
        <f ca="1">IFERROR(__xludf.DUMMYFUNCTION("""COMPUTED_VALUE"""),"*2305 CIRCADIAN WAY")</f>
        <v>*2305 CIRCADIAN WAY</v>
      </c>
      <c r="D410" s="2" t="str">
        <f ca="1">IFERROR(__xludf.DUMMYFUNCTION("""COMPUTED_VALUE"""),"SANTA ROSA")</f>
        <v>SANTA ROSA</v>
      </c>
      <c r="E410" s="2" t="str">
        <f ca="1">IFERROR(__xludf.DUMMYFUNCTION("""COMPUTED_VALUE"""),"CA")</f>
        <v>CA</v>
      </c>
      <c r="F410" s="4" t="str">
        <f ca="1">IFERROR(__xludf.DUMMYFUNCTION("""COMPUTED_VALUE"""),"95407")</f>
        <v>95407</v>
      </c>
      <c r="G410" s="2"/>
      <c r="H410" s="2"/>
      <c r="I410" s="2"/>
    </row>
    <row r="411" spans="1:9" ht="13" x14ac:dyDescent="0.3">
      <c r="A411" s="2" t="str">
        <f ca="1">IFERROR(__xludf.DUMMYFUNCTION("""COMPUTED_VALUE"""),"TUCSON BUSINESS INTERIORS INC")</f>
        <v>TUCSON BUSINESS INTERIORS INC</v>
      </c>
      <c r="B411" s="3"/>
      <c r="C411" s="2" t="str">
        <f ca="1">IFERROR(__xludf.DUMMYFUNCTION("""COMPUTED_VALUE"""),"*305 S EUCLID AVE #107")</f>
        <v>*305 S EUCLID AVE #107</v>
      </c>
      <c r="D411" s="2" t="str">
        <f ca="1">IFERROR(__xludf.DUMMYFUNCTION("""COMPUTED_VALUE"""),"TUCSON")</f>
        <v>TUCSON</v>
      </c>
      <c r="E411" s="2" t="str">
        <f ca="1">IFERROR(__xludf.DUMMYFUNCTION("""COMPUTED_VALUE"""),"AZ")</f>
        <v>AZ</v>
      </c>
      <c r="F411" s="4" t="str">
        <f ca="1">IFERROR(__xludf.DUMMYFUNCTION("""COMPUTED_VALUE"""),"85719")</f>
        <v>85719</v>
      </c>
      <c r="G411" s="5"/>
      <c r="H411" s="2"/>
      <c r="I411" s="2"/>
    </row>
    <row r="412" spans="1:9" ht="13" x14ac:dyDescent="0.3">
      <c r="A412" s="2" t="str">
        <f ca="1">IFERROR(__xludf.DUMMYFUNCTION("""COMPUTED_VALUE"""),"TURNERBOONE CONTRACT LLC")</f>
        <v>TURNERBOONE CONTRACT LLC</v>
      </c>
      <c r="B412" s="3"/>
      <c r="C412" s="2" t="str">
        <f ca="1">IFERROR(__xludf.DUMMYFUNCTION("""COMPUTED_VALUE"""),"*957 W MARIETTA ST NW")</f>
        <v>*957 W MARIETTA ST NW</v>
      </c>
      <c r="D412" s="2" t="str">
        <f ca="1">IFERROR(__xludf.DUMMYFUNCTION("""COMPUTED_VALUE"""),"ATLANTA")</f>
        <v>ATLANTA</v>
      </c>
      <c r="E412" s="2" t="str">
        <f ca="1">IFERROR(__xludf.DUMMYFUNCTION("""COMPUTED_VALUE"""),"GA")</f>
        <v>GA</v>
      </c>
      <c r="F412" s="4" t="str">
        <f ca="1">IFERROR(__xludf.DUMMYFUNCTION("""COMPUTED_VALUE"""),"30318")</f>
        <v>30318</v>
      </c>
      <c r="G412" s="2"/>
      <c r="H412" s="2"/>
      <c r="I412" s="2"/>
    </row>
    <row r="413" spans="1:9" ht="13" x14ac:dyDescent="0.3">
      <c r="A413" s="2" t="str">
        <f ca="1">IFERROR(__xludf.DUMMYFUNCTION("""COMPUTED_VALUE"""),"UNISOURCE SOLUTIONS INC-HAYWARD")</f>
        <v>UNISOURCE SOLUTIONS INC-HAYWARD</v>
      </c>
      <c r="B413" s="3"/>
      <c r="C413" s="2" t="str">
        <f ca="1">IFERROR(__xludf.DUMMYFUNCTION("""COMPUTED_VALUE"""),"*8350 REX RD")</f>
        <v>*8350 REX RD</v>
      </c>
      <c r="D413" s="2" t="str">
        <f ca="1">IFERROR(__xludf.DUMMYFUNCTION("""COMPUTED_VALUE"""),"PICO RIVERA")</f>
        <v>PICO RIVERA</v>
      </c>
      <c r="E413" s="2" t="str">
        <f ca="1">IFERROR(__xludf.DUMMYFUNCTION("""COMPUTED_VALUE"""),"CA")</f>
        <v>CA</v>
      </c>
      <c r="F413" s="4" t="str">
        <f ca="1">IFERROR(__xludf.DUMMYFUNCTION("""COMPUTED_VALUE"""),"90660")</f>
        <v>90660</v>
      </c>
      <c r="G413" s="2"/>
      <c r="H413" s="2"/>
      <c r="I413" s="2"/>
    </row>
    <row r="414" spans="1:9" ht="13" x14ac:dyDescent="0.3">
      <c r="A414" s="2" t="str">
        <f ca="1">IFERROR(__xludf.DUMMYFUNCTION("""COMPUTED_VALUE"""),"UNISOURCE SOLUTIONS INC-PICO RIVERA")</f>
        <v>UNISOURCE SOLUTIONS INC-PICO RIVERA</v>
      </c>
      <c r="B414" s="3"/>
      <c r="C414" s="2" t="str">
        <f ca="1">IFERROR(__xludf.DUMMYFUNCTION("""COMPUTED_VALUE"""),"*8350 REX RD")</f>
        <v>*8350 REX RD</v>
      </c>
      <c r="D414" s="2" t="str">
        <f ca="1">IFERROR(__xludf.DUMMYFUNCTION("""COMPUTED_VALUE"""),"PICO RIVERA")</f>
        <v>PICO RIVERA</v>
      </c>
      <c r="E414" s="2" t="str">
        <f ca="1">IFERROR(__xludf.DUMMYFUNCTION("""COMPUTED_VALUE"""),"CA")</f>
        <v>CA</v>
      </c>
      <c r="F414" s="4" t="str">
        <f ca="1">IFERROR(__xludf.DUMMYFUNCTION("""COMPUTED_VALUE"""),"90660")</f>
        <v>90660</v>
      </c>
      <c r="G414" s="2"/>
      <c r="H414" s="2"/>
      <c r="I414" s="2"/>
    </row>
    <row r="415" spans="1:9" ht="13" x14ac:dyDescent="0.3">
      <c r="A415" s="2" t="str">
        <f ca="1">IFERROR(__xludf.DUMMYFUNCTION("""COMPUTED_VALUE"""),"VALLEY DESIGNS INC")</f>
        <v>VALLEY DESIGNS INC</v>
      </c>
      <c r="B415" s="3"/>
      <c r="C415" s="2" t="str">
        <f ca="1">IFERROR(__xludf.DUMMYFUNCTION("""COMPUTED_VALUE"""),"311 E TYLER AVE")</f>
        <v>311 E TYLER AVE</v>
      </c>
      <c r="D415" s="2" t="str">
        <f ca="1">IFERROR(__xludf.DUMMYFUNCTION("""COMPUTED_VALUE"""),"HARLINGEN")</f>
        <v>HARLINGEN</v>
      </c>
      <c r="E415" s="2" t="str">
        <f ca="1">IFERROR(__xludf.DUMMYFUNCTION("""COMPUTED_VALUE"""),"TX")</f>
        <v>TX</v>
      </c>
      <c r="F415" s="4">
        <f ca="1">IFERROR(__xludf.DUMMYFUNCTION("""COMPUTED_VALUE"""),78550)</f>
        <v>78550</v>
      </c>
      <c r="G415" s="2"/>
      <c r="H415" s="2"/>
      <c r="I415" s="2"/>
    </row>
    <row r="416" spans="1:9" ht="13" x14ac:dyDescent="0.3">
      <c r="A416" s="2" t="str">
        <f ca="1">IFERROR(__xludf.DUMMYFUNCTION("""COMPUTED_VALUE"""),"W S GOFF COMPANY INC")</f>
        <v>W S GOFF COMPANY INC</v>
      </c>
      <c r="B416" s="3"/>
      <c r="C416" s="2" t="str">
        <f ca="1">IFERROR(__xludf.DUMMYFUNCTION("""COMPUTED_VALUE"""),"*5104 OAKWOOD BLVD")</f>
        <v>*5104 OAKWOOD BLVD</v>
      </c>
      <c r="D416" s="2" t="str">
        <f ca="1">IFERROR(__xludf.DUMMYFUNCTION("""COMPUTED_VALUE"""),"MAYS LANDING")</f>
        <v>MAYS LANDING</v>
      </c>
      <c r="E416" s="2" t="str">
        <f ca="1">IFERROR(__xludf.DUMMYFUNCTION("""COMPUTED_VALUE"""),"NJ")</f>
        <v>NJ</v>
      </c>
      <c r="F416" s="4" t="str">
        <f ca="1">IFERROR(__xludf.DUMMYFUNCTION("""COMPUTED_VALUE"""),"08330")</f>
        <v>08330</v>
      </c>
      <c r="G416" s="2"/>
      <c r="H416" s="2"/>
      <c r="I416" s="2"/>
    </row>
    <row r="417" spans="1:9" ht="13" x14ac:dyDescent="0.3">
      <c r="A417" s="2" t="str">
        <f ca="1">IFERROR(__xludf.DUMMYFUNCTION("""COMPUTED_VALUE"""),"WB MASON - MA")</f>
        <v>WB MASON - MA</v>
      </c>
      <c r="B417" s="3" t="str">
        <f ca="1">IFERROR(__xludf.DUMMYFUNCTION("""COMPUTED_VALUE"""),"O")</f>
        <v>O</v>
      </c>
      <c r="C417" s="2" t="str">
        <f ca="1">IFERROR(__xludf.DUMMYFUNCTION("""COMPUTED_VALUE"""),"*59 CENTRE ST  P O BOX 111")</f>
        <v>*59 CENTRE ST  P O BOX 111</v>
      </c>
      <c r="D417" s="2" t="str">
        <f ca="1">IFERROR(__xludf.DUMMYFUNCTION("""COMPUTED_VALUE"""),"BROCKTON")</f>
        <v>BROCKTON</v>
      </c>
      <c r="E417" s="2" t="str">
        <f ca="1">IFERROR(__xludf.DUMMYFUNCTION("""COMPUTED_VALUE"""),"MA")</f>
        <v>MA</v>
      </c>
      <c r="F417" s="4" t="str">
        <f ca="1">IFERROR(__xludf.DUMMYFUNCTION("""COMPUTED_VALUE"""),"02303")</f>
        <v>02303</v>
      </c>
      <c r="G417" s="2"/>
      <c r="H417" s="2"/>
      <c r="I417" s="2"/>
    </row>
    <row r="418" spans="1:9" ht="13" x14ac:dyDescent="0.3">
      <c r="A418" s="2" t="str">
        <f ca="1">IFERROR(__xludf.DUMMYFUNCTION("""COMPUTED_VALUE"""),"WB MASON - MD")</f>
        <v>WB MASON - MD</v>
      </c>
      <c r="B418" s="3"/>
      <c r="C418" s="2" t="str">
        <f ca="1">IFERROR(__xludf.DUMMYFUNCTION("""COMPUTED_VALUE"""),"*59 CENTRE ST  PO BOX 111")</f>
        <v>*59 CENTRE ST  PO BOX 111</v>
      </c>
      <c r="D418" s="2" t="str">
        <f ca="1">IFERROR(__xludf.DUMMYFUNCTION("""COMPUTED_VALUE"""),"BROCKTON")</f>
        <v>BROCKTON</v>
      </c>
      <c r="E418" s="2" t="str">
        <f ca="1">IFERROR(__xludf.DUMMYFUNCTION("""COMPUTED_VALUE"""),"MA")</f>
        <v>MA</v>
      </c>
      <c r="F418" s="4" t="str">
        <f ca="1">IFERROR(__xludf.DUMMYFUNCTION("""COMPUTED_VALUE"""),"02303")</f>
        <v>02303</v>
      </c>
      <c r="G418" s="2"/>
      <c r="H418" s="2"/>
      <c r="I418" s="2"/>
    </row>
    <row r="419" spans="1:9" ht="13" x14ac:dyDescent="0.3">
      <c r="A419" s="2" t="str">
        <f ca="1">IFERROR(__xludf.DUMMYFUNCTION("""COMPUTED_VALUE"""),"WB MASON - PHILADELPHIA")</f>
        <v>WB MASON - PHILADELPHIA</v>
      </c>
      <c r="B419" s="3"/>
      <c r="C419" s="2" t="str">
        <f ca="1">IFERROR(__xludf.DUMMYFUNCTION("""COMPUTED_VALUE"""),"*59 CENTRE ST  PO BOX 111")</f>
        <v>*59 CENTRE ST  PO BOX 111</v>
      </c>
      <c r="D419" s="2" t="str">
        <f ca="1">IFERROR(__xludf.DUMMYFUNCTION("""COMPUTED_VALUE"""),"BROCKTON")</f>
        <v>BROCKTON</v>
      </c>
      <c r="E419" s="2" t="str">
        <f ca="1">IFERROR(__xludf.DUMMYFUNCTION("""COMPUTED_VALUE"""),"MA")</f>
        <v>MA</v>
      </c>
      <c r="F419" s="4" t="str">
        <f ca="1">IFERROR(__xludf.DUMMYFUNCTION("""COMPUTED_VALUE"""),"02303")</f>
        <v>02303</v>
      </c>
      <c r="G419" s="2"/>
      <c r="H419" s="2"/>
      <c r="I419" s="2"/>
    </row>
    <row r="420" spans="1:9" ht="13" x14ac:dyDescent="0.3">
      <c r="A420" s="2" t="str">
        <f ca="1">IFERROR(__xludf.DUMMYFUNCTION("""COMPUTED_VALUE"""),"WB WOOD NY")</f>
        <v>WB WOOD NY</v>
      </c>
      <c r="B420" s="3"/>
      <c r="C420" s="2" t="str">
        <f ca="1">IFERROR(__xludf.DUMMYFUNCTION("""COMPUTED_VALUE"""),"*175 MORRISTOWN RD")</f>
        <v>*175 MORRISTOWN RD</v>
      </c>
      <c r="D420" s="2" t="str">
        <f ca="1">IFERROR(__xludf.DUMMYFUNCTION("""COMPUTED_VALUE"""),"BASKING RIDGE")</f>
        <v>BASKING RIDGE</v>
      </c>
      <c r="E420" s="2" t="str">
        <f ca="1">IFERROR(__xludf.DUMMYFUNCTION("""COMPUTED_VALUE"""),"NJ")</f>
        <v>NJ</v>
      </c>
      <c r="F420" s="4" t="str">
        <f ca="1">IFERROR(__xludf.DUMMYFUNCTION("""COMPUTED_VALUE"""),"07920")</f>
        <v>07920</v>
      </c>
      <c r="G420" s="2"/>
      <c r="H420" s="2"/>
      <c r="I420" s="2"/>
    </row>
    <row r="421" spans="1:9" ht="13" x14ac:dyDescent="0.3">
      <c r="A421" s="2" t="str">
        <f ca="1">IFERROR(__xludf.DUMMYFUNCTION("""COMPUTED_VALUE"""),"WEATHERALLS INC")</f>
        <v>WEATHERALLS INC</v>
      </c>
      <c r="B421" s="3"/>
      <c r="C421" s="2" t="str">
        <f ca="1">IFERROR(__xludf.DUMMYFUNCTION("""COMPUTED_VALUE"""),"*P O DRAWER 87")</f>
        <v>*P O DRAWER 87</v>
      </c>
      <c r="D421" s="2" t="str">
        <f ca="1">IFERROR(__xludf.DUMMYFUNCTION("""COMPUTED_VALUE"""),"TUPELO")</f>
        <v>TUPELO</v>
      </c>
      <c r="E421" s="2" t="str">
        <f ca="1">IFERROR(__xludf.DUMMYFUNCTION("""COMPUTED_VALUE"""),"MS")</f>
        <v>MS</v>
      </c>
      <c r="F421" s="4" t="str">
        <f ca="1">IFERROR(__xludf.DUMMYFUNCTION("""COMPUTED_VALUE"""),"38802")</f>
        <v>38802</v>
      </c>
      <c r="G421" s="2"/>
      <c r="H421" s="2"/>
      <c r="I421" s="2"/>
    </row>
    <row r="422" spans="1:9" ht="13" x14ac:dyDescent="0.3">
      <c r="A422" s="2" t="str">
        <f ca="1">IFERROR(__xludf.DUMMYFUNCTION("""COMPUTED_VALUE"""),"WELLS FARGO BANK NA")</f>
        <v>WELLS FARGO BANK NA</v>
      </c>
      <c r="B422" s="3"/>
      <c r="C422" s="2" t="str">
        <f ca="1">IFERROR(__xludf.DUMMYFUNCTION("""COMPUTED_VALUE"""),"*PO BOX 193775  MAC A0109-115")</f>
        <v>*PO BOX 193775  MAC A0109-115</v>
      </c>
      <c r="D422" s="2" t="str">
        <f ca="1">IFERROR(__xludf.DUMMYFUNCTION("""COMPUTED_VALUE"""),"SAN FRANCISCO")</f>
        <v>SAN FRANCISCO</v>
      </c>
      <c r="E422" s="2" t="str">
        <f ca="1">IFERROR(__xludf.DUMMYFUNCTION("""COMPUTED_VALUE"""),"CA")</f>
        <v>CA</v>
      </c>
      <c r="F422" s="4" t="str">
        <f ca="1">IFERROR(__xludf.DUMMYFUNCTION("""COMPUTED_VALUE"""),"94119")</f>
        <v>94119</v>
      </c>
      <c r="G422" s="2"/>
      <c r="H422" s="2"/>
      <c r="I422" s="2"/>
    </row>
    <row r="423" spans="1:9" ht="13" x14ac:dyDescent="0.3">
      <c r="A423" s="2" t="str">
        <f ca="1">IFERROR(__xludf.DUMMYFUNCTION("""COMPUTED_VALUE"""),"WESTERN CONTRACT FURNISHERS")</f>
        <v>WESTERN CONTRACT FURNISHERS</v>
      </c>
      <c r="B423" s="3"/>
      <c r="C423" s="2" t="str">
        <f ca="1">IFERROR(__xludf.DUMMYFUNCTION("""COMPUTED_VALUE"""),"*11455 FOLSOM BLVD STE 200")</f>
        <v>*11455 FOLSOM BLVD STE 200</v>
      </c>
      <c r="D423" s="2" t="str">
        <f ca="1">IFERROR(__xludf.DUMMYFUNCTION("""COMPUTED_VALUE"""),"RANCHO CORDOVA")</f>
        <v>RANCHO CORDOVA</v>
      </c>
      <c r="E423" s="2" t="str">
        <f ca="1">IFERROR(__xludf.DUMMYFUNCTION("""COMPUTED_VALUE"""),"CA")</f>
        <v>CA</v>
      </c>
      <c r="F423" s="4" t="str">
        <f ca="1">IFERROR(__xludf.DUMMYFUNCTION("""COMPUTED_VALUE"""),"95742")</f>
        <v>95742</v>
      </c>
      <c r="G423" s="2"/>
      <c r="H423" s="2"/>
      <c r="I423" s="2"/>
    </row>
    <row r="424" spans="1:9" ht="13" x14ac:dyDescent="0.3">
      <c r="A424" s="2" t="str">
        <f ca="1">IFERROR(__xludf.DUMMYFUNCTION("""COMPUTED_VALUE"""),"WESTERN OFFICE EQUIPMENT")</f>
        <v>WESTERN OFFICE EQUIPMENT</v>
      </c>
      <c r="B424" s="3"/>
      <c r="C424" s="2" t="str">
        <f ca="1">IFERROR(__xludf.DUMMYFUNCTION("""COMPUTED_VALUE"""),"*317 2ND ST S")</f>
        <v>*317 2ND ST S</v>
      </c>
      <c r="D424" s="2" t="str">
        <f ca="1">IFERROR(__xludf.DUMMYFUNCTION("""COMPUTED_VALUE"""),"GREAT FALLS")</f>
        <v>GREAT FALLS</v>
      </c>
      <c r="E424" s="2" t="str">
        <f ca="1">IFERROR(__xludf.DUMMYFUNCTION("""COMPUTED_VALUE"""),"MT")</f>
        <v>MT</v>
      </c>
      <c r="F424" s="4" t="str">
        <f ca="1">IFERROR(__xludf.DUMMYFUNCTION("""COMPUTED_VALUE"""),"59405")</f>
        <v>59405</v>
      </c>
      <c r="G424" s="2"/>
      <c r="H424" s="2"/>
      <c r="I424" s="2"/>
    </row>
    <row r="425" spans="1:9" ht="13" x14ac:dyDescent="0.3">
      <c r="A425" s="2" t="str">
        <f ca="1">IFERROR(__xludf.DUMMYFUNCTION("""COMPUTED_VALUE"""),"WESTERN OFFICE INTERIORS INC-LOS ANGELES")</f>
        <v>WESTERN OFFICE INTERIORS INC-LOS ANGELES</v>
      </c>
      <c r="B425" s="3"/>
      <c r="C425" s="2" t="str">
        <f ca="1">IFERROR(__xludf.DUMMYFUNCTION("""COMPUTED_VALUE"""),"*500 CITADEL DR STE 250")</f>
        <v>*500 CITADEL DR STE 250</v>
      </c>
      <c r="D425" s="2" t="str">
        <f ca="1">IFERROR(__xludf.DUMMYFUNCTION("""COMPUTED_VALUE"""),"LOS ANGELES")</f>
        <v>LOS ANGELES</v>
      </c>
      <c r="E425" s="2" t="str">
        <f ca="1">IFERROR(__xludf.DUMMYFUNCTION("""COMPUTED_VALUE"""),"CA")</f>
        <v>CA</v>
      </c>
      <c r="F425" s="4" t="str">
        <f ca="1">IFERROR(__xludf.DUMMYFUNCTION("""COMPUTED_VALUE"""),"90040")</f>
        <v>90040</v>
      </c>
      <c r="G425" s="2"/>
      <c r="H425" s="2"/>
      <c r="I425" s="2"/>
    </row>
    <row r="426" spans="1:9" ht="13" x14ac:dyDescent="0.3">
      <c r="A426" s="2" t="str">
        <f ca="1">IFERROR(__xludf.DUMMYFUNCTION("""COMPUTED_VALUE"""),"WESTERN OFFICE INTERIORS INC-SEATTLE")</f>
        <v>WESTERN OFFICE INTERIORS INC-SEATTLE</v>
      </c>
      <c r="B426" s="3"/>
      <c r="C426" s="2" t="str">
        <f ca="1">IFERROR(__xludf.DUMMYFUNCTION("""COMPUTED_VALUE"""),"*500 CITADEL DR STE 250")</f>
        <v>*500 CITADEL DR STE 250</v>
      </c>
      <c r="D426" s="2" t="str">
        <f ca="1">IFERROR(__xludf.DUMMYFUNCTION("""COMPUTED_VALUE"""),"LOS ANGELES")</f>
        <v>LOS ANGELES</v>
      </c>
      <c r="E426" s="2" t="str">
        <f ca="1">IFERROR(__xludf.DUMMYFUNCTION("""COMPUTED_VALUE"""),"CA")</f>
        <v>CA</v>
      </c>
      <c r="F426" s="4" t="str">
        <f ca="1">IFERROR(__xludf.DUMMYFUNCTION("""COMPUTED_VALUE"""),"90040")</f>
        <v>90040</v>
      </c>
      <c r="G426" s="2"/>
      <c r="H426" s="2"/>
      <c r="I426" s="2"/>
    </row>
    <row r="427" spans="1:9" ht="13" x14ac:dyDescent="0.3">
      <c r="A427" s="2" t="str">
        <f ca="1">IFERROR(__xludf.DUMMYFUNCTION("""COMPUTED_VALUE"""),"WESTMORELAND CONTRACT FURNITURE")</f>
        <v>WESTMORELAND CONTRACT FURNITURE</v>
      </c>
      <c r="B427" s="3"/>
      <c r="C427" s="2" t="str">
        <f ca="1">IFERROR(__xludf.DUMMYFUNCTION("""COMPUTED_VALUE"""),"*1572 WOODWARD DR EXT")</f>
        <v>*1572 WOODWARD DR EXT</v>
      </c>
      <c r="D427" s="2" t="str">
        <f ca="1">IFERROR(__xludf.DUMMYFUNCTION("""COMPUTED_VALUE"""),"GREENSBURG")</f>
        <v>GREENSBURG</v>
      </c>
      <c r="E427" s="2" t="str">
        <f ca="1">IFERROR(__xludf.DUMMYFUNCTION("""COMPUTED_VALUE"""),"PA")</f>
        <v>PA</v>
      </c>
      <c r="F427" s="4" t="str">
        <f ca="1">IFERROR(__xludf.DUMMYFUNCTION("""COMPUTED_VALUE"""),"15601")</f>
        <v>15601</v>
      </c>
      <c r="G427" s="2"/>
      <c r="H427" s="2"/>
      <c r="I427" s="2"/>
    </row>
    <row r="428" spans="1:9" ht="13" x14ac:dyDescent="0.3">
      <c r="A428" s="2" t="str">
        <f ca="1">IFERROR(__xludf.DUMMYFUNCTION("""COMPUTED_VALUE"""),"WHL SPACES")</f>
        <v>WHL SPACES</v>
      </c>
      <c r="B428" s="3"/>
      <c r="C428" s="2" t="str">
        <f ca="1">IFERROR(__xludf.DUMMYFUNCTION("""COMPUTED_VALUE"""),"*1502 SAWYER ST #104")</f>
        <v>*1502 SAWYER ST #104</v>
      </c>
      <c r="D428" s="2" t="str">
        <f ca="1">IFERROR(__xludf.DUMMYFUNCTION("""COMPUTED_VALUE"""),"HOUSTON")</f>
        <v>HOUSTON</v>
      </c>
      <c r="E428" s="2" t="str">
        <f ca="1">IFERROR(__xludf.DUMMYFUNCTION("""COMPUTED_VALUE"""),"TX")</f>
        <v>TX</v>
      </c>
      <c r="F428" s="4" t="str">
        <f ca="1">IFERROR(__xludf.DUMMYFUNCTION("""COMPUTED_VALUE"""),"77007")</f>
        <v>77007</v>
      </c>
      <c r="G428" s="2"/>
      <c r="H428" s="2"/>
      <c r="I428" s="2"/>
    </row>
    <row r="429" spans="1:9" ht="13" x14ac:dyDescent="0.3">
      <c r="A429" s="2" t="str">
        <f ca="1">IFERROR(__xludf.DUMMYFUNCTION("""COMPUTED_VALUE"""),"WIDMER INC-PEORIA")</f>
        <v>WIDMER INC-PEORIA</v>
      </c>
      <c r="B429" s="3"/>
      <c r="C429" s="2" t="str">
        <f ca="1">IFERROR(__xludf.DUMMYFUNCTION("""COMPUTED_VALUE"""),"*8415 N ALLEN RD")</f>
        <v>*8415 N ALLEN RD</v>
      </c>
      <c r="D429" s="2" t="str">
        <f ca="1">IFERROR(__xludf.DUMMYFUNCTION("""COMPUTED_VALUE"""),"PEORIA")</f>
        <v>PEORIA</v>
      </c>
      <c r="E429" s="2" t="str">
        <f ca="1">IFERROR(__xludf.DUMMYFUNCTION("""COMPUTED_VALUE"""),"IL")</f>
        <v>IL</v>
      </c>
      <c r="F429" s="4" t="str">
        <f ca="1">IFERROR(__xludf.DUMMYFUNCTION("""COMPUTED_VALUE"""),"61615")</f>
        <v>61615</v>
      </c>
      <c r="G429" s="2"/>
      <c r="H429" s="2"/>
      <c r="I429" s="2"/>
    </row>
    <row r="430" spans="1:9" ht="13" x14ac:dyDescent="0.3">
      <c r="A430" s="2" t="str">
        <f ca="1">IFERROR(__xludf.DUMMYFUNCTION("""COMPUTED_VALUE"""),"WILEY OFC FURNITURE-SPRINGFIELD")</f>
        <v>WILEY OFC FURNITURE-SPRINGFIELD</v>
      </c>
      <c r="B430" s="3"/>
      <c r="C430" s="2" t="str">
        <f ca="1">IFERROR(__xludf.DUMMYFUNCTION("""COMPUTED_VALUE"""),"*301 E LAUREL ST")</f>
        <v>*301 E LAUREL ST</v>
      </c>
      <c r="D430" s="2" t="str">
        <f ca="1">IFERROR(__xludf.DUMMYFUNCTION("""COMPUTED_VALUE"""),"SPRINGFIELD")</f>
        <v>SPRINGFIELD</v>
      </c>
      <c r="E430" s="2" t="str">
        <f ca="1">IFERROR(__xludf.DUMMYFUNCTION("""COMPUTED_VALUE"""),"IL")</f>
        <v>IL</v>
      </c>
      <c r="F430" s="4" t="str">
        <f ca="1">IFERROR(__xludf.DUMMYFUNCTION("""COMPUTED_VALUE"""),"62703")</f>
        <v>62703</v>
      </c>
      <c r="G430" s="2"/>
      <c r="H430" s="2"/>
      <c r="I430" s="2"/>
    </row>
    <row r="431" spans="1:9" ht="13" x14ac:dyDescent="0.3">
      <c r="A431" s="2" t="str">
        <f ca="1">IFERROR(__xludf.DUMMYFUNCTION("""COMPUTED_VALUE"""),"WILLIAMS INTERIOR DESIGNS INC")</f>
        <v>WILLIAMS INTERIOR DESIGNS INC</v>
      </c>
      <c r="B431" s="3" t="str">
        <f ca="1">IFERROR(__xludf.DUMMYFUNCTION("""COMPUTED_VALUE"""),"WMBE, Edge")</f>
        <v>WMBE, Edge</v>
      </c>
      <c r="C431" s="2" t="str">
        <f ca="1">IFERROR(__xludf.DUMMYFUNCTION("""COMPUTED_VALUE"""),"*2168 CITYGATE DR")</f>
        <v>*2168 CITYGATE DR</v>
      </c>
      <c r="D431" s="2" t="str">
        <f ca="1">IFERROR(__xludf.DUMMYFUNCTION("""COMPUTED_VALUE"""),"COLUMBUS")</f>
        <v>COLUMBUS</v>
      </c>
      <c r="E431" s="2" t="str">
        <f ca="1">IFERROR(__xludf.DUMMYFUNCTION("""COMPUTED_VALUE"""),"OH")</f>
        <v>OH</v>
      </c>
      <c r="F431" s="4" t="str">
        <f ca="1">IFERROR(__xludf.DUMMYFUNCTION("""COMPUTED_VALUE"""),"43219")</f>
        <v>43219</v>
      </c>
      <c r="G431" s="2"/>
      <c r="H431" s="2"/>
      <c r="I431" s="2"/>
    </row>
    <row r="432" spans="1:9" ht="13" x14ac:dyDescent="0.3">
      <c r="A432" s="2" t="str">
        <f ca="1">IFERROR(__xludf.DUMMYFUNCTION("""COMPUTED_VALUE"""),"WILSON OFFICE INTERIORS")</f>
        <v>WILSON OFFICE INTERIORS</v>
      </c>
      <c r="B432" s="3"/>
      <c r="C432" s="2" t="str">
        <f ca="1">IFERROR(__xludf.DUMMYFUNCTION("""COMPUTED_VALUE"""),"*5051 PULASKI ST")</f>
        <v>*5051 PULASKI ST</v>
      </c>
      <c r="D432" s="2" t="str">
        <f ca="1">IFERROR(__xludf.DUMMYFUNCTION("""COMPUTED_VALUE"""),"DALLAS")</f>
        <v>DALLAS</v>
      </c>
      <c r="E432" s="2" t="str">
        <f ca="1">IFERROR(__xludf.DUMMYFUNCTION("""COMPUTED_VALUE"""),"TX")</f>
        <v>TX</v>
      </c>
      <c r="F432" s="4" t="str">
        <f ca="1">IFERROR(__xludf.DUMMYFUNCTION("""COMPUTED_VALUE"""),"75247")</f>
        <v>75247</v>
      </c>
      <c r="G432" s="2"/>
      <c r="H432" s="2"/>
      <c r="I432" s="2"/>
    </row>
    <row r="433" spans="1:9" ht="13" x14ac:dyDescent="0.3">
      <c r="A433" s="2" t="str">
        <f ca="1">IFERROR(__xludf.DUMMYFUNCTION("""COMPUTED_VALUE"""),"WITTIGS OFFICE INTERIORS")</f>
        <v>WITTIGS OFFICE INTERIORS</v>
      </c>
      <c r="B433" s="3"/>
      <c r="C433" s="2" t="str">
        <f ca="1">IFERROR(__xludf.DUMMYFUNCTION("""COMPUTED_VALUE"""),"*2018 AVE B STE 300")</f>
        <v>*2018 AVE B STE 300</v>
      </c>
      <c r="D433" s="2" t="str">
        <f ca="1">IFERROR(__xludf.DUMMYFUNCTION("""COMPUTED_VALUE"""),"SAN ANTONIO")</f>
        <v>SAN ANTONIO</v>
      </c>
      <c r="E433" s="2" t="str">
        <f ca="1">IFERROR(__xludf.DUMMYFUNCTION("""COMPUTED_VALUE"""),"TX")</f>
        <v>TX</v>
      </c>
      <c r="F433" s="4" t="str">
        <f ca="1">IFERROR(__xludf.DUMMYFUNCTION("""COMPUTED_VALUE"""),"78215")</f>
        <v>78215</v>
      </c>
      <c r="G433" s="2"/>
      <c r="H433" s="2"/>
      <c r="I433" s="2"/>
    </row>
    <row r="434" spans="1:9" ht="13" x14ac:dyDescent="0.3">
      <c r="A434" s="2" t="str">
        <f ca="1">IFERROR(__xludf.DUMMYFUNCTION("""COMPUTED_VALUE"""),"WORKPLACE RESOURCE - COLORADO SPRINGS")</f>
        <v>WORKPLACE RESOURCE - COLORADO SPRINGS</v>
      </c>
      <c r="B434" s="3"/>
      <c r="C434" s="2" t="str">
        <f ca="1">IFERROR(__xludf.DUMMYFUNCTION("""COMPUTED_VALUE"""),"*9600 E 40TH ST")</f>
        <v>*9600 E 40TH ST</v>
      </c>
      <c r="D434" s="2" t="str">
        <f ca="1">IFERROR(__xludf.DUMMYFUNCTION("""COMPUTED_VALUE"""),"DENVER")</f>
        <v>DENVER</v>
      </c>
      <c r="E434" s="2" t="str">
        <f ca="1">IFERROR(__xludf.DUMMYFUNCTION("""COMPUTED_VALUE"""),"CO")</f>
        <v>CO</v>
      </c>
      <c r="F434" s="4" t="str">
        <f ca="1">IFERROR(__xludf.DUMMYFUNCTION("""COMPUTED_VALUE"""),"80238")</f>
        <v>80238</v>
      </c>
      <c r="G434" s="2"/>
      <c r="H434" s="2"/>
      <c r="I434" s="2"/>
    </row>
    <row r="435" spans="1:9" ht="13" x14ac:dyDescent="0.3">
      <c r="A435" s="2" t="str">
        <f ca="1">IFERROR(__xludf.DUMMYFUNCTION("""COMPUTED_VALUE"""),"WORKPLACE RESOURCE - DENVER")</f>
        <v>WORKPLACE RESOURCE - DENVER</v>
      </c>
      <c r="B435" s="3"/>
      <c r="C435" s="2" t="str">
        <f ca="1">IFERROR(__xludf.DUMMYFUNCTION("""COMPUTED_VALUE"""),"*9600 E 40TH AVE")</f>
        <v>*9600 E 40TH AVE</v>
      </c>
      <c r="D435" s="2" t="str">
        <f ca="1">IFERROR(__xludf.DUMMYFUNCTION("""COMPUTED_VALUE"""),"DENVER")</f>
        <v>DENVER</v>
      </c>
      <c r="E435" s="2" t="str">
        <f ca="1">IFERROR(__xludf.DUMMYFUNCTION("""COMPUTED_VALUE"""),"CO")</f>
        <v>CO</v>
      </c>
      <c r="F435" s="4" t="str">
        <f ca="1">IFERROR(__xludf.DUMMYFUNCTION("""COMPUTED_VALUE"""),"80238")</f>
        <v>80238</v>
      </c>
      <c r="G435" s="2"/>
      <c r="H435" s="2"/>
      <c r="I435" s="2"/>
    </row>
    <row r="436" spans="1:9" ht="13" x14ac:dyDescent="0.3">
      <c r="A436" s="2" t="str">
        <f ca="1">IFERROR(__xludf.DUMMYFUNCTION("""COMPUTED_VALUE"""),"WORKPLACE RESOURCE GROUP")</f>
        <v>WORKPLACE RESOURCE GROUP</v>
      </c>
      <c r="B436" s="3"/>
      <c r="C436" s="2" t="str">
        <f ca="1">IFERROR(__xludf.DUMMYFUNCTION("""COMPUTED_VALUE"""),"*2639 E ROSEMEADE PKWY")</f>
        <v>*2639 E ROSEMEADE PKWY</v>
      </c>
      <c r="D436" s="2" t="str">
        <f ca="1">IFERROR(__xludf.DUMMYFUNCTION("""COMPUTED_VALUE"""),"CARROLLTON")</f>
        <v>CARROLLTON</v>
      </c>
      <c r="E436" s="2" t="str">
        <f ca="1">IFERROR(__xludf.DUMMYFUNCTION("""COMPUTED_VALUE"""),"TX")</f>
        <v>TX</v>
      </c>
      <c r="F436" s="4" t="str">
        <f ca="1">IFERROR(__xludf.DUMMYFUNCTION("""COMPUTED_VALUE"""),"75007-2303")</f>
        <v>75007-2303</v>
      </c>
      <c r="G436" s="2"/>
      <c r="H436" s="2"/>
      <c r="I436" s="2"/>
    </row>
    <row r="437" spans="1:9" ht="13" x14ac:dyDescent="0.3">
      <c r="A437" s="2" t="str">
        <f ca="1">IFERROR(__xludf.DUMMYFUNCTION("""COMPUTED_VALUE"""),"WORKPLACE RESOURCE LLC-AUSTIN")</f>
        <v>WORKPLACE RESOURCE LLC-AUSTIN</v>
      </c>
      <c r="B437" s="3" t="str">
        <f ca="1">IFERROR(__xludf.DUMMYFUNCTION("""COMPUTED_VALUE"""),"WO w/w/wo")</f>
        <v>WO w/w/wo</v>
      </c>
      <c r="C437" s="2" t="str">
        <f ca="1">IFERROR(__xludf.DUMMYFUNCTION("""COMPUTED_VALUE"""),"*4400 NE LOOP 410  STE 130")</f>
        <v>*4400 NE LOOP 410  STE 130</v>
      </c>
      <c r="D437" s="2" t="str">
        <f ca="1">IFERROR(__xludf.DUMMYFUNCTION("""COMPUTED_VALUE"""),"SAN ANTONIO")</f>
        <v>SAN ANTONIO</v>
      </c>
      <c r="E437" s="2" t="str">
        <f ca="1">IFERROR(__xludf.DUMMYFUNCTION("""COMPUTED_VALUE"""),"TX")</f>
        <v>TX</v>
      </c>
      <c r="F437" s="4" t="str">
        <f ca="1">IFERROR(__xludf.DUMMYFUNCTION("""COMPUTED_VALUE"""),"78218")</f>
        <v>78218</v>
      </c>
      <c r="G437" s="2"/>
      <c r="H437" s="2"/>
      <c r="I437" s="2"/>
    </row>
    <row r="438" spans="1:9" ht="13" x14ac:dyDescent="0.3">
      <c r="A438" s="2" t="str">
        <f ca="1">IFERROR(__xludf.DUMMYFUNCTION("""COMPUTED_VALUE"""),"WORKPLACE RESOURCE LLC-SAN ANTONIO")</f>
        <v>WORKPLACE RESOURCE LLC-SAN ANTONIO</v>
      </c>
      <c r="B438" s="3" t="str">
        <f ca="1">IFERROR(__xludf.DUMMYFUNCTION("""COMPUTED_VALUE"""),"WO")</f>
        <v>WO</v>
      </c>
      <c r="C438" s="2" t="str">
        <f ca="1">IFERROR(__xludf.DUMMYFUNCTION("""COMPUTED_VALUE"""),"*4400 NE LOOP 410 STE 130")</f>
        <v>*4400 NE LOOP 410 STE 130</v>
      </c>
      <c r="D438" s="2" t="str">
        <f ca="1">IFERROR(__xludf.DUMMYFUNCTION("""COMPUTED_VALUE"""),"SAN ANTONIO")</f>
        <v>SAN ANTONIO</v>
      </c>
      <c r="E438" s="2" t="str">
        <f ca="1">IFERROR(__xludf.DUMMYFUNCTION("""COMPUTED_VALUE"""),"TX")</f>
        <v>TX</v>
      </c>
      <c r="F438" s="4" t="str">
        <f ca="1">IFERROR(__xludf.DUMMYFUNCTION("""COMPUTED_VALUE"""),"78218")</f>
        <v>78218</v>
      </c>
      <c r="G438" s="2"/>
      <c r="H438" s="2"/>
      <c r="I438" s="2"/>
    </row>
    <row r="439" spans="1:9" ht="13" x14ac:dyDescent="0.3">
      <c r="A439" s="2" t="str">
        <f ca="1">IFERROR(__xludf.DUMMYFUNCTION("""COMPUTED_VALUE"""),"WORKPLACE SOLUTIONS-VA")</f>
        <v>WORKPLACE SOLUTIONS-VA</v>
      </c>
      <c r="B439" s="3"/>
      <c r="C439" s="2" t="str">
        <f ca="1">IFERROR(__xludf.DUMMYFUNCTION("""COMPUTED_VALUE"""),"*317 VILLAGE DR STE 103")</f>
        <v>*317 VILLAGE DR STE 103</v>
      </c>
      <c r="D439" s="2" t="str">
        <f ca="1">IFERROR(__xludf.DUMMYFUNCTION("""COMPUTED_VALUE"""),"VIRGINIA BEACH")</f>
        <v>VIRGINIA BEACH</v>
      </c>
      <c r="E439" s="2" t="str">
        <f ca="1">IFERROR(__xludf.DUMMYFUNCTION("""COMPUTED_VALUE"""),"VA")</f>
        <v>VA</v>
      </c>
      <c r="F439" s="4" t="str">
        <f ca="1">IFERROR(__xludf.DUMMYFUNCTION("""COMPUTED_VALUE"""),"23454")</f>
        <v>23454</v>
      </c>
      <c r="G439" s="2"/>
      <c r="H439" s="2"/>
      <c r="I439" s="2"/>
    </row>
    <row r="440" spans="1:9" ht="13" x14ac:dyDescent="0.3">
      <c r="A440" s="2" t="str">
        <f ca="1">IFERROR(__xludf.DUMMYFUNCTION("""COMPUTED_VALUE"""),"WORKPOINTE-SEATTLE")</f>
        <v>WORKPOINTE-SEATTLE</v>
      </c>
      <c r="B440" s="3"/>
      <c r="C440" s="2" t="str">
        <f ca="1">IFERROR(__xludf.DUMMYFUNCTION("""COMPUTED_VALUE"""),"*9877 40TH AVE S")</f>
        <v>*9877 40TH AVE S</v>
      </c>
      <c r="D440" s="2" t="str">
        <f ca="1">IFERROR(__xludf.DUMMYFUNCTION("""COMPUTED_VALUE"""),"SEATTLE")</f>
        <v>SEATTLE</v>
      </c>
      <c r="E440" s="2" t="str">
        <f ca="1">IFERROR(__xludf.DUMMYFUNCTION("""COMPUTED_VALUE"""),"WA")</f>
        <v>WA</v>
      </c>
      <c r="F440" s="4" t="str">
        <f ca="1">IFERROR(__xludf.DUMMYFUNCTION("""COMPUTED_VALUE"""),"98118")</f>
        <v>98118</v>
      </c>
      <c r="G440" s="2"/>
      <c r="H440" s="2"/>
      <c r="I440" s="2"/>
    </row>
    <row r="441" spans="1:9" ht="13" x14ac:dyDescent="0.3">
      <c r="A441" s="2" t="str">
        <f ca="1">IFERROR(__xludf.DUMMYFUNCTION("""COMPUTED_VALUE"""),"WORKSCAPE INC")</f>
        <v>WORKSCAPE INC</v>
      </c>
      <c r="B441" s="3" t="str">
        <f ca="1">IFERROR(__xludf.DUMMYFUNCTION("""COMPUTED_VALUE"""),"WO")</f>
        <v>WO</v>
      </c>
      <c r="C441" s="2" t="str">
        <f ca="1">IFERROR(__xludf.DUMMYFUNCTION("""COMPUTED_VALUE"""),"*1900 LOWE ST")</f>
        <v>*1900 LOWE ST</v>
      </c>
      <c r="D441" s="2" t="str">
        <f ca="1">IFERROR(__xludf.DUMMYFUNCTION("""COMPUTED_VALUE"""),"PITTSBURGH")</f>
        <v>PITTSBURGH</v>
      </c>
      <c r="E441" s="2" t="str">
        <f ca="1">IFERROR(__xludf.DUMMYFUNCTION("""COMPUTED_VALUE"""),"PA")</f>
        <v>PA</v>
      </c>
      <c r="F441" s="4" t="str">
        <f ca="1">IFERROR(__xludf.DUMMYFUNCTION("""COMPUTED_VALUE"""),"15220")</f>
        <v>15220</v>
      </c>
      <c r="G441" s="2"/>
      <c r="H441" s="2"/>
      <c r="I441" s="2"/>
    </row>
    <row r="442" spans="1:9" ht="13" x14ac:dyDescent="0.3">
      <c r="A442" s="2" t="str">
        <f ca="1">IFERROR(__xludf.DUMMYFUNCTION("""COMPUTED_VALUE"""),"WORKSCAPES INC-CENTRAL FL")</f>
        <v>WORKSCAPES INC-CENTRAL FL</v>
      </c>
      <c r="B442" s="3" t="str">
        <f ca="1">IFERROR(__xludf.DUMMYFUNCTION("""COMPUTED_VALUE"""),"s/w/d")</f>
        <v>s/w/d</v>
      </c>
      <c r="C442" s="2" t="str">
        <f ca="1">IFERROR(__xludf.DUMMYFUNCTION("""COMPUTED_VALUE"""),"*501 E KENNEDY BLVD")</f>
        <v>*501 E KENNEDY BLVD</v>
      </c>
      <c r="D442" s="2" t="str">
        <f ca="1">IFERROR(__xludf.DUMMYFUNCTION("""COMPUTED_VALUE"""),"TAMPA")</f>
        <v>TAMPA</v>
      </c>
      <c r="E442" s="2" t="str">
        <f ca="1">IFERROR(__xludf.DUMMYFUNCTION("""COMPUTED_VALUE"""),"FL")</f>
        <v>FL</v>
      </c>
      <c r="F442" s="4" t="str">
        <f ca="1">IFERROR(__xludf.DUMMYFUNCTION("""COMPUTED_VALUE"""),"33602")</f>
        <v>33602</v>
      </c>
      <c r="G442" s="2"/>
      <c r="H442" s="2"/>
      <c r="I442" s="2"/>
    </row>
    <row r="443" spans="1:9" ht="13" x14ac:dyDescent="0.3">
      <c r="A443" s="2" t="str">
        <f ca="1">IFERROR(__xludf.DUMMYFUNCTION("""COMPUTED_VALUE"""),"WORKSCAPES INC-JACKSONVILLE")</f>
        <v>WORKSCAPES INC-JACKSONVILLE</v>
      </c>
      <c r="B443" s="3"/>
      <c r="C443" s="2" t="str">
        <f ca="1">IFERROR(__xludf.DUMMYFUNCTION("""COMPUTED_VALUE"""),"*501 E KENNEDY BLVD")</f>
        <v>*501 E KENNEDY BLVD</v>
      </c>
      <c r="D443" s="2" t="str">
        <f ca="1">IFERROR(__xludf.DUMMYFUNCTION("""COMPUTED_VALUE"""),"TAMPA")</f>
        <v>TAMPA</v>
      </c>
      <c r="E443" s="2" t="str">
        <f ca="1">IFERROR(__xludf.DUMMYFUNCTION("""COMPUTED_VALUE"""),"FL")</f>
        <v>FL</v>
      </c>
      <c r="F443" s="4" t="str">
        <f ca="1">IFERROR(__xludf.DUMMYFUNCTION("""COMPUTED_VALUE"""),"33602")</f>
        <v>33602</v>
      </c>
      <c r="G443" s="2"/>
      <c r="H443" s="2"/>
      <c r="I443" s="2"/>
    </row>
    <row r="444" spans="1:9" ht="13" x14ac:dyDescent="0.3">
      <c r="A444" s="2" t="str">
        <f ca="1">IFERROR(__xludf.DUMMYFUNCTION("""COMPUTED_VALUE"""),"WORKSPACE COMPANY")</f>
        <v>WORKSPACE COMPANY</v>
      </c>
      <c r="B444" s="3"/>
      <c r="C444" s="2" t="str">
        <f ca="1">IFERROR(__xludf.DUMMYFUNCTION("""COMPUTED_VALUE"""),"*261 N 3RD ST")</f>
        <v>*261 N 3RD ST</v>
      </c>
      <c r="D444" s="2" t="str">
        <f ca="1">IFERROR(__xludf.DUMMYFUNCTION("""COMPUTED_VALUE"""),"PHILADELPHIA")</f>
        <v>PHILADELPHIA</v>
      </c>
      <c r="E444" s="2" t="str">
        <f ca="1">IFERROR(__xludf.DUMMYFUNCTION("""COMPUTED_VALUE"""),"PA")</f>
        <v>PA</v>
      </c>
      <c r="F444" s="4" t="str">
        <f ca="1">IFERROR(__xludf.DUMMYFUNCTION("""COMPUTED_VALUE"""),"19106")</f>
        <v>19106</v>
      </c>
      <c r="G444" s="2"/>
      <c r="H444" s="2"/>
      <c r="I444" s="2"/>
    </row>
    <row r="445" spans="1:9" ht="13" x14ac:dyDescent="0.3">
      <c r="A445" s="2" t="str">
        <f ca="1">IFERROR(__xludf.DUMMYFUNCTION("""COMPUTED_VALUE"""),"WORKSPACE RESOURCE INC")</f>
        <v>WORKSPACE RESOURCE INC</v>
      </c>
      <c r="B445" s="3"/>
      <c r="C445" s="2" t="str">
        <f ca="1">IFERROR(__xludf.DUMMYFUNCTION("""COMPUTED_VALUE"""),"*404 S BOULDER AVE")</f>
        <v>*404 S BOULDER AVE</v>
      </c>
      <c r="D445" s="2" t="str">
        <f ca="1">IFERROR(__xludf.DUMMYFUNCTION("""COMPUTED_VALUE"""),"TULSA")</f>
        <v>TULSA</v>
      </c>
      <c r="E445" s="2" t="str">
        <f ca="1">IFERROR(__xludf.DUMMYFUNCTION("""COMPUTED_VALUE"""),"OK")</f>
        <v>OK</v>
      </c>
      <c r="F445" s="4" t="str">
        <f ca="1">IFERROR(__xludf.DUMMYFUNCTION("""COMPUTED_VALUE"""),"74103")</f>
        <v>74103</v>
      </c>
      <c r="G445" s="2"/>
      <c r="H445" s="2"/>
      <c r="I445" s="2"/>
    </row>
    <row r="446" spans="1:9" ht="13" x14ac:dyDescent="0.3">
      <c r="A446" s="2" t="str">
        <f ca="1">IFERROR(__xludf.DUMMYFUNCTION("""COMPUTED_VALUE"""),"WORKSPACE RESOURCE-TX")</f>
        <v>WORKSPACE RESOURCE-TX</v>
      </c>
      <c r="B446" s="3"/>
      <c r="C446" s="2" t="str">
        <f ca="1">IFERROR(__xludf.DUMMYFUNCTION("""COMPUTED_VALUE"""),"*12280 I-45 S STE C")</f>
        <v>*12280 I-45 S STE C</v>
      </c>
      <c r="D446" s="2" t="str">
        <f ca="1">IFERROR(__xludf.DUMMYFUNCTION("""COMPUTED_VALUE"""),"CONROE")</f>
        <v>CONROE</v>
      </c>
      <c r="E446" s="2" t="str">
        <f ca="1">IFERROR(__xludf.DUMMYFUNCTION("""COMPUTED_VALUE"""),"TX")</f>
        <v>TX</v>
      </c>
      <c r="F446" s="4" t="str">
        <f ca="1">IFERROR(__xludf.DUMMYFUNCTION("""COMPUTED_VALUE"""),"77304")</f>
        <v>77304</v>
      </c>
      <c r="G446" s="2"/>
      <c r="H446" s="2"/>
      <c r="I446" s="2"/>
    </row>
    <row r="447" spans="1:9" ht="13" x14ac:dyDescent="0.3">
      <c r="A447" s="2" t="str">
        <f ca="1">IFERROR(__xludf.DUMMYFUNCTION("""COMPUTED_VALUE"""),"WORKSPACE SOLUTIONS INC-SAN ANTONIO")</f>
        <v>WORKSPACE SOLUTIONS INC-SAN ANTONIO</v>
      </c>
      <c r="B447" s="3"/>
      <c r="C447" s="2" t="str">
        <f ca="1">IFERROR(__xludf.DUMMYFUNCTION("""COMPUTED_VALUE"""),"*3660 THOUSAND OAKS STE 220")</f>
        <v>*3660 THOUSAND OAKS STE 220</v>
      </c>
      <c r="D447" s="2" t="str">
        <f ca="1">IFERROR(__xludf.DUMMYFUNCTION("""COMPUTED_VALUE"""),"SAN ANTONIO")</f>
        <v>SAN ANTONIO</v>
      </c>
      <c r="E447" s="2" t="str">
        <f ca="1">IFERROR(__xludf.DUMMYFUNCTION("""COMPUTED_VALUE"""),"TX")</f>
        <v>TX</v>
      </c>
      <c r="F447" s="4" t="str">
        <f ca="1">IFERROR(__xludf.DUMMYFUNCTION("""COMPUTED_VALUE"""),"78247")</f>
        <v>78247</v>
      </c>
      <c r="G447" s="2"/>
      <c r="H447" s="2"/>
      <c r="I447" s="2"/>
    </row>
    <row r="448" spans="1:9" ht="13" x14ac:dyDescent="0.3">
      <c r="A448" s="2" t="str">
        <f ca="1">IFERROR(__xludf.DUMMYFUNCTION("""COMPUTED_VALUE"""),"WORKSPACES LLC-PHOENIX")</f>
        <v>WORKSPACES LLC-PHOENIX</v>
      </c>
      <c r="B448" s="3"/>
      <c r="C448" s="2" t="str">
        <f ca="1">IFERROR(__xludf.DUMMYFUNCTION("""COMPUTED_VALUE"""),"*7720 N 16TH ST STE 375")</f>
        <v>*7720 N 16TH ST STE 375</v>
      </c>
      <c r="D448" s="2" t="str">
        <f ca="1">IFERROR(__xludf.DUMMYFUNCTION("""COMPUTED_VALUE"""),"PHOENIX")</f>
        <v>PHOENIX</v>
      </c>
      <c r="E448" s="2" t="str">
        <f ca="1">IFERROR(__xludf.DUMMYFUNCTION("""COMPUTED_VALUE"""),"AZ")</f>
        <v>AZ</v>
      </c>
      <c r="F448" s="4" t="str">
        <f ca="1">IFERROR(__xludf.DUMMYFUNCTION("""COMPUTED_VALUE"""),"85020")</f>
        <v>85020</v>
      </c>
      <c r="G448" s="2"/>
      <c r="H448" s="2"/>
      <c r="I448" s="2"/>
    </row>
    <row r="449" spans="1:9" ht="13" x14ac:dyDescent="0.3">
      <c r="A449" s="2" t="str">
        <f ca="1">IFERROR(__xludf.DUMMYFUNCTION("""COMPUTED_VALUE"""),"WRIGHT FURNITURE INC")</f>
        <v>WRIGHT FURNITURE INC</v>
      </c>
      <c r="B449" s="3"/>
      <c r="C449" s="2" t="str">
        <f ca="1">IFERROR(__xludf.DUMMYFUNCTION("""COMPUTED_VALUE"""),"*113 N MAIN  PO BOX 231")</f>
        <v>*113 N MAIN  PO BOX 231</v>
      </c>
      <c r="D449" s="2" t="str">
        <f ca="1">IFERROR(__xludf.DUMMYFUNCTION("""COMPUTED_VALUE"""),"DIETERICH")</f>
        <v>DIETERICH</v>
      </c>
      <c r="E449" s="2" t="str">
        <f ca="1">IFERROR(__xludf.DUMMYFUNCTION("""COMPUTED_VALUE"""),"IL")</f>
        <v>IL</v>
      </c>
      <c r="F449" s="4" t="str">
        <f ca="1">IFERROR(__xludf.DUMMYFUNCTION("""COMPUTED_VALUE"""),"62424")</f>
        <v>62424</v>
      </c>
      <c r="G449" s="2"/>
      <c r="H449" s="2"/>
      <c r="I449" s="2"/>
    </row>
    <row r="450" spans="1:9" ht="13" x14ac:dyDescent="0.3">
      <c r="A450" s="2" t="str">
        <f ca="1">IFERROR(__xludf.DUMMYFUNCTION("""COMPUTED_VALUE"""),"WRK LAB INC")</f>
        <v>WRK LAB INC</v>
      </c>
      <c r="B450" s="3" t="str">
        <f ca="1">IFERROR(__xludf.DUMMYFUNCTION("""COMPUTED_VALUE"""),"s")</f>
        <v>s</v>
      </c>
      <c r="C450" s="2" t="str">
        <f ca="1">IFERROR(__xludf.DUMMYFUNCTION("""COMPUTED_VALUE"""),"*3605 NW 115TH AVE")</f>
        <v>*3605 NW 115TH AVE</v>
      </c>
      <c r="D450" s="2" t="str">
        <f ca="1">IFERROR(__xludf.DUMMYFUNCTION("""COMPUTED_VALUE"""),"DORAL")</f>
        <v>DORAL</v>
      </c>
      <c r="E450" s="2" t="str">
        <f ca="1">IFERROR(__xludf.DUMMYFUNCTION("""COMPUTED_VALUE"""),"FL")</f>
        <v>FL</v>
      </c>
      <c r="F450" s="4" t="str">
        <f ca="1">IFERROR(__xludf.DUMMYFUNCTION("""COMPUTED_VALUE"""),"33178")</f>
        <v>33178</v>
      </c>
      <c r="G450" s="2"/>
      <c r="H450" s="2"/>
      <c r="I450" s="2"/>
    </row>
    <row r="451" spans="1:9" ht="13" x14ac:dyDescent="0.3">
      <c r="A451" s="2" t="str">
        <f ca="1">IFERROR(__xludf.DUMMYFUNCTION("""COMPUTED_VALUE"""),"XOTIVE FACILITY SOLUTIONS INC")</f>
        <v>XOTIVE FACILITY SOLUTIONS INC</v>
      </c>
      <c r="B451" s="3" t="str">
        <f ca="1">IFERROR(__xludf.DUMMYFUNCTION("""COMPUTED_VALUE"""),"WO")</f>
        <v>WO</v>
      </c>
      <c r="C451" s="2" t="str">
        <f ca="1">IFERROR(__xludf.DUMMYFUNCTION("""COMPUTED_VALUE"""),"*12 VETERANS SQ STE 3")</f>
        <v>*12 VETERANS SQ STE 3</v>
      </c>
      <c r="D451" s="2" t="str">
        <f ca="1">IFERROR(__xludf.DUMMYFUNCTION("""COMPUTED_VALUE"""),"MEDIA")</f>
        <v>MEDIA</v>
      </c>
      <c r="E451" s="2" t="str">
        <f ca="1">IFERROR(__xludf.DUMMYFUNCTION("""COMPUTED_VALUE"""),"PA")</f>
        <v>PA</v>
      </c>
      <c r="F451" s="4" t="str">
        <f ca="1">IFERROR(__xludf.DUMMYFUNCTION("""COMPUTED_VALUE"""),"19063")</f>
        <v>19063</v>
      </c>
      <c r="G451" s="2"/>
      <c r="H451" s="2"/>
      <c r="I451" s="2"/>
    </row>
    <row r="452" spans="1:9" ht="13" x14ac:dyDescent="0.3">
      <c r="A452" s="2" t="str">
        <f ca="1">IFERROR(__xludf.DUMMYFUNCTION("""COMPUTED_VALUE"""),"YAMADA ENTERPRISES")</f>
        <v>YAMADA ENTERPRISES</v>
      </c>
      <c r="B452" s="3"/>
      <c r="C452" s="2" t="str">
        <f ca="1">IFERROR(__xludf.DUMMYFUNCTION("""COMPUTED_VALUE"""),"*16552 BURKE LN")</f>
        <v>*16552 BURKE LN</v>
      </c>
      <c r="D452" s="2" t="str">
        <f ca="1">IFERROR(__xludf.DUMMYFUNCTION("""COMPUTED_VALUE"""),"HUNTINGTON BEACH")</f>
        <v>HUNTINGTON BEACH</v>
      </c>
      <c r="E452" s="2" t="str">
        <f ca="1">IFERROR(__xludf.DUMMYFUNCTION("""COMPUTED_VALUE"""),"CA")</f>
        <v>CA</v>
      </c>
      <c r="F452" s="4" t="str">
        <f ca="1">IFERROR(__xludf.DUMMYFUNCTION("""COMPUTED_VALUE"""),"92647")</f>
        <v>92647</v>
      </c>
      <c r="G452" s="2"/>
      <c r="H452" s="2"/>
      <c r="I452" s="2"/>
    </row>
    <row r="453" spans="1:9" ht="13" x14ac:dyDescent="0.3">
      <c r="B453" s="3"/>
      <c r="F453" s="4"/>
    </row>
    <row r="454" spans="1:9" ht="13" x14ac:dyDescent="0.3">
      <c r="B454" s="3"/>
      <c r="F454" s="4"/>
    </row>
    <row r="455" spans="1:9" ht="13" x14ac:dyDescent="0.3">
      <c r="B455" s="3"/>
      <c r="F455" s="4"/>
    </row>
    <row r="456" spans="1:9" ht="13" x14ac:dyDescent="0.3">
      <c r="B456" s="3"/>
      <c r="F456" s="4"/>
    </row>
    <row r="457" spans="1:9" ht="13" x14ac:dyDescent="0.3">
      <c r="B457" s="3"/>
      <c r="F457" s="4"/>
    </row>
    <row r="458" spans="1:9" ht="13" x14ac:dyDescent="0.3">
      <c r="B458" s="3"/>
      <c r="F458" s="4"/>
    </row>
    <row r="459" spans="1:9" ht="13" x14ac:dyDescent="0.3">
      <c r="B459" s="3"/>
      <c r="F459" s="4"/>
    </row>
    <row r="460" spans="1:9" ht="13" x14ac:dyDescent="0.3">
      <c r="B460" s="3"/>
      <c r="F460" s="4"/>
    </row>
    <row r="461" spans="1:9" ht="13" x14ac:dyDescent="0.3">
      <c r="B461" s="3"/>
      <c r="F461" s="4"/>
    </row>
    <row r="462" spans="1:9" ht="13" x14ac:dyDescent="0.3">
      <c r="B462" s="3"/>
      <c r="F462" s="4"/>
    </row>
    <row r="463" spans="1:9" ht="13" x14ac:dyDescent="0.3">
      <c r="B463" s="3"/>
      <c r="F463" s="4"/>
    </row>
    <row r="464" spans="1:9" ht="13" x14ac:dyDescent="0.3">
      <c r="B464" s="3"/>
      <c r="F464" s="4"/>
    </row>
    <row r="465" spans="2:6" ht="13" x14ac:dyDescent="0.3">
      <c r="B465" s="3"/>
      <c r="F465" s="4"/>
    </row>
    <row r="466" spans="2:6" ht="13" x14ac:dyDescent="0.3">
      <c r="B466" s="3"/>
      <c r="F466" s="4"/>
    </row>
    <row r="467" spans="2:6" ht="13" x14ac:dyDescent="0.3">
      <c r="B467" s="3"/>
      <c r="F467" s="4"/>
    </row>
    <row r="468" spans="2:6" ht="13" x14ac:dyDescent="0.3">
      <c r="B468" s="3"/>
      <c r="F468" s="4"/>
    </row>
    <row r="469" spans="2:6" ht="13" x14ac:dyDescent="0.3">
      <c r="B469" s="3"/>
      <c r="F469" s="4"/>
    </row>
    <row r="470" spans="2:6" ht="13" x14ac:dyDescent="0.3">
      <c r="B470" s="3"/>
      <c r="F470" s="4"/>
    </row>
    <row r="471" spans="2:6" ht="13" x14ac:dyDescent="0.3">
      <c r="B471" s="3"/>
      <c r="F471" s="4"/>
    </row>
    <row r="472" spans="2:6" ht="13" x14ac:dyDescent="0.3">
      <c r="B472" s="3"/>
      <c r="F472" s="4"/>
    </row>
    <row r="473" spans="2:6" ht="13" x14ac:dyDescent="0.3">
      <c r="B473" s="3"/>
      <c r="F473" s="4"/>
    </row>
    <row r="474" spans="2:6" ht="13" x14ac:dyDescent="0.3">
      <c r="B474" s="3"/>
      <c r="F474" s="4"/>
    </row>
    <row r="475" spans="2:6" ht="13" x14ac:dyDescent="0.3">
      <c r="B475" s="3"/>
      <c r="F475" s="4"/>
    </row>
    <row r="476" spans="2:6" ht="13" x14ac:dyDescent="0.3">
      <c r="B476" s="3"/>
      <c r="F476" s="4"/>
    </row>
    <row r="477" spans="2:6" ht="13" x14ac:dyDescent="0.3">
      <c r="B477" s="3"/>
      <c r="F477" s="4"/>
    </row>
    <row r="478" spans="2:6" ht="13" x14ac:dyDescent="0.3">
      <c r="B478" s="3"/>
      <c r="F478" s="4"/>
    </row>
    <row r="479" spans="2:6" ht="13" x14ac:dyDescent="0.3">
      <c r="B479" s="3"/>
      <c r="F479" s="4"/>
    </row>
    <row r="480" spans="2:6" ht="13" x14ac:dyDescent="0.3">
      <c r="B480" s="3"/>
      <c r="F480" s="4"/>
    </row>
    <row r="481" spans="2:6" ht="13" x14ac:dyDescent="0.3">
      <c r="B481" s="3"/>
      <c r="F481" s="4"/>
    </row>
    <row r="482" spans="2:6" ht="13" x14ac:dyDescent="0.3">
      <c r="B482" s="3"/>
      <c r="F482" s="4"/>
    </row>
    <row r="483" spans="2:6" ht="13" x14ac:dyDescent="0.3">
      <c r="B483" s="3"/>
      <c r="F483" s="4"/>
    </row>
    <row r="484" spans="2:6" ht="13" x14ac:dyDescent="0.3">
      <c r="B484" s="3"/>
      <c r="F484" s="4"/>
    </row>
    <row r="485" spans="2:6" ht="13" x14ac:dyDescent="0.3">
      <c r="B485" s="3"/>
      <c r="F485" s="4"/>
    </row>
    <row r="486" spans="2:6" ht="13" x14ac:dyDescent="0.3">
      <c r="B486" s="3"/>
      <c r="F486" s="4"/>
    </row>
    <row r="487" spans="2:6" ht="13" x14ac:dyDescent="0.3">
      <c r="B487" s="3"/>
      <c r="F487" s="4"/>
    </row>
    <row r="488" spans="2:6" ht="13" x14ac:dyDescent="0.3">
      <c r="B488" s="3"/>
      <c r="F488" s="4"/>
    </row>
    <row r="489" spans="2:6" ht="13" x14ac:dyDescent="0.3">
      <c r="B489" s="3"/>
      <c r="F489" s="4"/>
    </row>
    <row r="490" spans="2:6" ht="13" x14ac:dyDescent="0.3">
      <c r="B490" s="3"/>
      <c r="F490" s="4"/>
    </row>
    <row r="491" spans="2:6" ht="13" x14ac:dyDescent="0.3">
      <c r="B491" s="3"/>
      <c r="F491" s="4"/>
    </row>
    <row r="492" spans="2:6" ht="13" x14ac:dyDescent="0.3">
      <c r="B492" s="3"/>
      <c r="F492" s="4"/>
    </row>
    <row r="493" spans="2:6" ht="13" x14ac:dyDescent="0.3">
      <c r="B493" s="3"/>
      <c r="F493" s="4"/>
    </row>
    <row r="494" spans="2:6" ht="13" x14ac:dyDescent="0.3">
      <c r="B494" s="3"/>
      <c r="F494" s="4"/>
    </row>
    <row r="495" spans="2:6" ht="13" x14ac:dyDescent="0.3">
      <c r="B495" s="3"/>
      <c r="F495" s="4"/>
    </row>
    <row r="496" spans="2:6" ht="13" x14ac:dyDescent="0.3">
      <c r="B496" s="3"/>
      <c r="F496" s="4"/>
    </row>
    <row r="497" spans="2:6" ht="13" x14ac:dyDescent="0.3">
      <c r="B497" s="3"/>
      <c r="F497" s="4"/>
    </row>
    <row r="498" spans="2:6" ht="13" x14ac:dyDescent="0.3">
      <c r="B498" s="3"/>
      <c r="F498" s="4"/>
    </row>
    <row r="499" spans="2:6" ht="13" x14ac:dyDescent="0.3">
      <c r="B499" s="3"/>
      <c r="F499" s="4"/>
    </row>
    <row r="500" spans="2:6" ht="13" x14ac:dyDescent="0.3">
      <c r="B500" s="3"/>
      <c r="F500" s="4"/>
    </row>
    <row r="501" spans="2:6" ht="13" x14ac:dyDescent="0.3">
      <c r="B501" s="3"/>
      <c r="F501" s="4"/>
    </row>
    <row r="502" spans="2:6" ht="13" x14ac:dyDescent="0.3">
      <c r="B502" s="3"/>
      <c r="F502" s="4"/>
    </row>
    <row r="503" spans="2:6" ht="13" x14ac:dyDescent="0.3">
      <c r="B503" s="3"/>
      <c r="F503" s="4"/>
    </row>
    <row r="504" spans="2:6" ht="13" x14ac:dyDescent="0.3">
      <c r="B504" s="3"/>
      <c r="F504" s="4"/>
    </row>
    <row r="505" spans="2:6" ht="13" x14ac:dyDescent="0.3">
      <c r="B505" s="3"/>
      <c r="F505" s="4"/>
    </row>
    <row r="506" spans="2:6" ht="13" x14ac:dyDescent="0.3">
      <c r="B506" s="3"/>
      <c r="F506" s="4"/>
    </row>
    <row r="507" spans="2:6" ht="13" x14ac:dyDescent="0.3">
      <c r="B507" s="3"/>
      <c r="F507" s="4"/>
    </row>
    <row r="508" spans="2:6" ht="13" x14ac:dyDescent="0.3">
      <c r="B508" s="3"/>
      <c r="F508" s="4"/>
    </row>
    <row r="509" spans="2:6" ht="13" x14ac:dyDescent="0.3">
      <c r="B509" s="3"/>
      <c r="F509" s="4"/>
    </row>
    <row r="510" spans="2:6" ht="13" x14ac:dyDescent="0.3">
      <c r="B510" s="3"/>
      <c r="F510" s="4"/>
    </row>
    <row r="511" spans="2:6" ht="13" x14ac:dyDescent="0.3">
      <c r="B511" s="3"/>
      <c r="F511" s="4"/>
    </row>
    <row r="512" spans="2:6" ht="13" x14ac:dyDescent="0.3">
      <c r="B512" s="3"/>
      <c r="F512" s="4"/>
    </row>
    <row r="513" spans="2:6" ht="13" x14ac:dyDescent="0.3">
      <c r="B513" s="3"/>
      <c r="F513" s="4"/>
    </row>
    <row r="514" spans="2:6" ht="13" x14ac:dyDescent="0.3">
      <c r="B514" s="3"/>
      <c r="F514" s="4"/>
    </row>
    <row r="515" spans="2:6" ht="13" x14ac:dyDescent="0.3">
      <c r="B515" s="3"/>
      <c r="F515" s="4"/>
    </row>
    <row r="516" spans="2:6" ht="13" x14ac:dyDescent="0.3">
      <c r="B516" s="3"/>
      <c r="F516" s="4"/>
    </row>
    <row r="517" spans="2:6" ht="13" x14ac:dyDescent="0.3">
      <c r="B517" s="3"/>
      <c r="F517" s="4"/>
    </row>
    <row r="518" spans="2:6" ht="13" x14ac:dyDescent="0.3">
      <c r="B518" s="3"/>
      <c r="F518" s="4"/>
    </row>
    <row r="519" spans="2:6" ht="13" x14ac:dyDescent="0.3">
      <c r="B519" s="3"/>
      <c r="F519" s="4"/>
    </row>
    <row r="520" spans="2:6" ht="13" x14ac:dyDescent="0.3">
      <c r="B520" s="3"/>
      <c r="F520" s="4"/>
    </row>
    <row r="521" spans="2:6" ht="13" x14ac:dyDescent="0.3">
      <c r="B521" s="3"/>
      <c r="F521" s="4"/>
    </row>
    <row r="522" spans="2:6" ht="13" x14ac:dyDescent="0.3">
      <c r="B522" s="3"/>
      <c r="F522" s="4"/>
    </row>
    <row r="523" spans="2:6" ht="13" x14ac:dyDescent="0.3">
      <c r="B523" s="3"/>
      <c r="F523" s="4"/>
    </row>
    <row r="524" spans="2:6" ht="13" x14ac:dyDescent="0.3">
      <c r="B524" s="3"/>
      <c r="F524" s="4"/>
    </row>
    <row r="525" spans="2:6" ht="13" x14ac:dyDescent="0.3">
      <c r="B525" s="3"/>
      <c r="F525" s="4"/>
    </row>
    <row r="526" spans="2:6" ht="13" x14ac:dyDescent="0.3">
      <c r="B526" s="3"/>
      <c r="F526" s="4"/>
    </row>
    <row r="527" spans="2:6" ht="13" x14ac:dyDescent="0.3">
      <c r="B527" s="3"/>
      <c r="F527" s="4"/>
    </row>
    <row r="528" spans="2:6" ht="13" x14ac:dyDescent="0.3">
      <c r="B528" s="3"/>
      <c r="F528" s="4"/>
    </row>
    <row r="529" spans="2:6" ht="13" x14ac:dyDescent="0.3">
      <c r="B529" s="3"/>
      <c r="F529" s="4"/>
    </row>
    <row r="530" spans="2:6" ht="13" x14ac:dyDescent="0.3">
      <c r="B530" s="3"/>
      <c r="F530" s="4"/>
    </row>
    <row r="531" spans="2:6" ht="13" x14ac:dyDescent="0.3">
      <c r="B531" s="3"/>
      <c r="F531" s="4"/>
    </row>
    <row r="532" spans="2:6" ht="13" x14ac:dyDescent="0.3">
      <c r="B532" s="3"/>
      <c r="F532" s="4"/>
    </row>
    <row r="533" spans="2:6" ht="13" x14ac:dyDescent="0.3">
      <c r="B533" s="3"/>
      <c r="F533" s="4"/>
    </row>
    <row r="534" spans="2:6" ht="13" x14ac:dyDescent="0.3">
      <c r="B534" s="3"/>
      <c r="F534" s="4"/>
    </row>
    <row r="535" spans="2:6" ht="13" x14ac:dyDescent="0.3">
      <c r="B535" s="3"/>
      <c r="F535" s="4"/>
    </row>
    <row r="536" spans="2:6" ht="13" x14ac:dyDescent="0.3">
      <c r="B536" s="3"/>
      <c r="F536" s="4"/>
    </row>
    <row r="537" spans="2:6" ht="13" x14ac:dyDescent="0.3">
      <c r="B537" s="3"/>
      <c r="F537" s="4"/>
    </row>
    <row r="538" spans="2:6" ht="13" x14ac:dyDescent="0.3">
      <c r="B538" s="3"/>
      <c r="F538" s="4"/>
    </row>
    <row r="539" spans="2:6" ht="13" x14ac:dyDescent="0.3">
      <c r="B539" s="3"/>
      <c r="F539" s="4"/>
    </row>
    <row r="540" spans="2:6" ht="13" x14ac:dyDescent="0.3">
      <c r="B540" s="3"/>
      <c r="F540" s="4"/>
    </row>
    <row r="541" spans="2:6" ht="13" x14ac:dyDescent="0.3">
      <c r="B541" s="3"/>
      <c r="F541" s="4"/>
    </row>
    <row r="542" spans="2:6" ht="13" x14ac:dyDescent="0.3">
      <c r="B542" s="3"/>
      <c r="F542" s="4"/>
    </row>
    <row r="543" spans="2:6" ht="13" x14ac:dyDescent="0.3">
      <c r="B543" s="3"/>
      <c r="F543" s="4"/>
    </row>
    <row r="544" spans="2:6" ht="13" x14ac:dyDescent="0.3">
      <c r="B544" s="3"/>
      <c r="F544" s="4"/>
    </row>
    <row r="545" spans="2:6" ht="13" x14ac:dyDescent="0.3">
      <c r="B545" s="3"/>
      <c r="F545" s="4"/>
    </row>
    <row r="546" spans="2:6" ht="13" x14ac:dyDescent="0.3">
      <c r="B546" s="3"/>
      <c r="F546" s="4"/>
    </row>
    <row r="547" spans="2:6" ht="13" x14ac:dyDescent="0.3">
      <c r="B547" s="3"/>
      <c r="F547" s="4"/>
    </row>
    <row r="548" spans="2:6" ht="13" x14ac:dyDescent="0.3">
      <c r="B548" s="3"/>
      <c r="F548" s="4"/>
    </row>
    <row r="549" spans="2:6" ht="13" x14ac:dyDescent="0.3">
      <c r="B549" s="3"/>
      <c r="F549" s="4"/>
    </row>
    <row r="550" spans="2:6" ht="13" x14ac:dyDescent="0.3">
      <c r="B550" s="3"/>
      <c r="F550" s="4"/>
    </row>
    <row r="551" spans="2:6" ht="13" x14ac:dyDescent="0.3">
      <c r="B551" s="3"/>
      <c r="F551" s="4"/>
    </row>
    <row r="552" spans="2:6" ht="13" x14ac:dyDescent="0.3">
      <c r="B552" s="3"/>
      <c r="F552" s="4"/>
    </row>
    <row r="553" spans="2:6" ht="13" x14ac:dyDescent="0.3">
      <c r="B553" s="3"/>
      <c r="F553" s="4"/>
    </row>
    <row r="554" spans="2:6" ht="13" x14ac:dyDescent="0.3">
      <c r="B554" s="3"/>
      <c r="F554" s="4"/>
    </row>
    <row r="555" spans="2:6" ht="13" x14ac:dyDescent="0.3">
      <c r="B555" s="3"/>
      <c r="F555" s="4"/>
    </row>
    <row r="556" spans="2:6" ht="13" x14ac:dyDescent="0.3">
      <c r="B556" s="3"/>
      <c r="F556" s="4"/>
    </row>
    <row r="557" spans="2:6" ht="13" x14ac:dyDescent="0.3">
      <c r="B557" s="3"/>
      <c r="F557" s="4"/>
    </row>
    <row r="558" spans="2:6" ht="13" x14ac:dyDescent="0.3">
      <c r="B558" s="3"/>
      <c r="F558" s="4"/>
    </row>
    <row r="559" spans="2:6" ht="13" x14ac:dyDescent="0.3">
      <c r="B559" s="3"/>
      <c r="F559" s="4"/>
    </row>
    <row r="560" spans="2:6" ht="13" x14ac:dyDescent="0.3">
      <c r="B560" s="3"/>
      <c r="F560" s="4"/>
    </row>
    <row r="561" spans="2:6" ht="13" x14ac:dyDescent="0.3">
      <c r="B561" s="3"/>
      <c r="F561" s="4"/>
    </row>
    <row r="562" spans="2:6" ht="13" x14ac:dyDescent="0.3">
      <c r="B562" s="3"/>
      <c r="F562" s="4"/>
    </row>
    <row r="563" spans="2:6" ht="13" x14ac:dyDescent="0.3">
      <c r="B563" s="3"/>
      <c r="F563" s="4"/>
    </row>
    <row r="564" spans="2:6" ht="13" x14ac:dyDescent="0.3">
      <c r="B564" s="3"/>
      <c r="F564" s="4"/>
    </row>
    <row r="565" spans="2:6" ht="13" x14ac:dyDescent="0.3">
      <c r="B565" s="3"/>
      <c r="F565" s="4"/>
    </row>
    <row r="566" spans="2:6" ht="13" x14ac:dyDescent="0.3">
      <c r="B566" s="3"/>
      <c r="F566" s="4"/>
    </row>
    <row r="567" spans="2:6" ht="13" x14ac:dyDescent="0.3">
      <c r="B567" s="3"/>
      <c r="F567" s="4"/>
    </row>
    <row r="568" spans="2:6" ht="13" x14ac:dyDescent="0.3">
      <c r="B568" s="3"/>
      <c r="F568" s="4"/>
    </row>
    <row r="569" spans="2:6" ht="13" x14ac:dyDescent="0.3">
      <c r="B569" s="3"/>
      <c r="F569" s="4"/>
    </row>
    <row r="570" spans="2:6" ht="13" x14ac:dyDescent="0.3">
      <c r="B570" s="3"/>
      <c r="F570" s="4"/>
    </row>
    <row r="571" spans="2:6" ht="13" x14ac:dyDescent="0.3">
      <c r="B571" s="3"/>
      <c r="F571" s="4"/>
    </row>
    <row r="572" spans="2:6" ht="13" x14ac:dyDescent="0.3">
      <c r="B572" s="3"/>
      <c r="F572" s="4"/>
    </row>
    <row r="573" spans="2:6" ht="13" x14ac:dyDescent="0.3">
      <c r="B573" s="3"/>
      <c r="F573" s="4"/>
    </row>
    <row r="574" spans="2:6" ht="13" x14ac:dyDescent="0.3">
      <c r="B574" s="3"/>
      <c r="F574" s="4"/>
    </row>
    <row r="575" spans="2:6" ht="13" x14ac:dyDescent="0.3">
      <c r="B575" s="3"/>
      <c r="F575" s="4"/>
    </row>
    <row r="576" spans="2:6" ht="13" x14ac:dyDescent="0.3">
      <c r="B576" s="3"/>
      <c r="F576" s="4"/>
    </row>
    <row r="577" spans="2:6" ht="13" x14ac:dyDescent="0.3">
      <c r="B577" s="3"/>
      <c r="F577" s="4"/>
    </row>
    <row r="578" spans="2:6" ht="13" x14ac:dyDescent="0.3">
      <c r="B578" s="3"/>
      <c r="F578" s="4"/>
    </row>
    <row r="579" spans="2:6" ht="13" x14ac:dyDescent="0.3">
      <c r="B579" s="3"/>
      <c r="F579" s="4"/>
    </row>
    <row r="580" spans="2:6" ht="13" x14ac:dyDescent="0.3">
      <c r="B580" s="3"/>
      <c r="F580" s="4"/>
    </row>
    <row r="581" spans="2:6" ht="13" x14ac:dyDescent="0.3">
      <c r="B581" s="3"/>
      <c r="F581" s="4"/>
    </row>
    <row r="582" spans="2:6" ht="13" x14ac:dyDescent="0.3">
      <c r="B582" s="3"/>
      <c r="F582" s="4"/>
    </row>
    <row r="583" spans="2:6" ht="13" x14ac:dyDescent="0.3">
      <c r="B583" s="3"/>
      <c r="F583" s="4"/>
    </row>
    <row r="584" spans="2:6" ht="13" x14ac:dyDescent="0.3">
      <c r="B584" s="3"/>
      <c r="F584" s="4"/>
    </row>
    <row r="585" spans="2:6" ht="13" x14ac:dyDescent="0.3">
      <c r="B585" s="3"/>
      <c r="F585" s="4"/>
    </row>
    <row r="586" spans="2:6" ht="13" x14ac:dyDescent="0.3">
      <c r="B586" s="3"/>
      <c r="F586" s="4"/>
    </row>
    <row r="587" spans="2:6" ht="13" x14ac:dyDescent="0.3">
      <c r="B587" s="3"/>
      <c r="F587" s="4"/>
    </row>
    <row r="588" spans="2:6" ht="13" x14ac:dyDescent="0.3">
      <c r="B588" s="3"/>
      <c r="F588" s="4"/>
    </row>
    <row r="589" spans="2:6" ht="13" x14ac:dyDescent="0.3">
      <c r="B589" s="3"/>
      <c r="F589" s="4"/>
    </row>
    <row r="590" spans="2:6" ht="13" x14ac:dyDescent="0.3">
      <c r="B590" s="3"/>
      <c r="F590" s="4"/>
    </row>
    <row r="591" spans="2:6" ht="13" x14ac:dyDescent="0.3">
      <c r="B591" s="3"/>
      <c r="F591" s="4"/>
    </row>
    <row r="592" spans="2:6" ht="13" x14ac:dyDescent="0.3">
      <c r="B592" s="3"/>
      <c r="F592" s="4"/>
    </row>
    <row r="593" spans="2:6" ht="13" x14ac:dyDescent="0.3">
      <c r="B593" s="3"/>
      <c r="F593" s="4"/>
    </row>
    <row r="594" spans="2:6" ht="13" x14ac:dyDescent="0.3">
      <c r="B594" s="3"/>
      <c r="F594" s="4"/>
    </row>
    <row r="595" spans="2:6" ht="13" x14ac:dyDescent="0.3">
      <c r="B595" s="3"/>
      <c r="F595" s="4"/>
    </row>
    <row r="596" spans="2:6" ht="13" x14ac:dyDescent="0.3">
      <c r="B596" s="3"/>
      <c r="F596" s="4"/>
    </row>
    <row r="597" spans="2:6" ht="13" x14ac:dyDescent="0.3">
      <c r="B597" s="3"/>
      <c r="F597" s="4"/>
    </row>
    <row r="598" spans="2:6" ht="13" x14ac:dyDescent="0.3">
      <c r="B598" s="3"/>
      <c r="F598" s="4"/>
    </row>
    <row r="599" spans="2:6" ht="13" x14ac:dyDescent="0.3">
      <c r="B599" s="3"/>
      <c r="F599" s="4"/>
    </row>
    <row r="600" spans="2:6" ht="13" x14ac:dyDescent="0.3">
      <c r="B600" s="3"/>
      <c r="F600" s="4"/>
    </row>
    <row r="601" spans="2:6" ht="13" x14ac:dyDescent="0.3">
      <c r="B601" s="3"/>
      <c r="F601" s="4"/>
    </row>
    <row r="602" spans="2:6" ht="13" x14ac:dyDescent="0.3">
      <c r="B602" s="3"/>
      <c r="F602" s="4"/>
    </row>
    <row r="603" spans="2:6" ht="13" x14ac:dyDescent="0.3">
      <c r="B603" s="3"/>
      <c r="F603" s="4"/>
    </row>
    <row r="604" spans="2:6" ht="13" x14ac:dyDescent="0.3">
      <c r="B604" s="3"/>
      <c r="F604" s="4"/>
    </row>
    <row r="605" spans="2:6" ht="13" x14ac:dyDescent="0.3">
      <c r="B605" s="3"/>
      <c r="F605" s="4"/>
    </row>
    <row r="606" spans="2:6" ht="13" x14ac:dyDescent="0.3">
      <c r="B606" s="3"/>
      <c r="F606" s="4"/>
    </row>
    <row r="607" spans="2:6" ht="13" x14ac:dyDescent="0.3">
      <c r="B607" s="3"/>
      <c r="F607" s="4"/>
    </row>
    <row r="608" spans="2:6" ht="13" x14ac:dyDescent="0.3">
      <c r="B608" s="3"/>
      <c r="F608" s="4"/>
    </row>
    <row r="609" spans="2:6" ht="13" x14ac:dyDescent="0.3">
      <c r="B609" s="3"/>
      <c r="F609" s="4"/>
    </row>
    <row r="610" spans="2:6" ht="13" x14ac:dyDescent="0.3">
      <c r="B610" s="3"/>
      <c r="F610" s="4"/>
    </row>
    <row r="611" spans="2:6" ht="13" x14ac:dyDescent="0.3">
      <c r="B611" s="3"/>
      <c r="F611" s="4"/>
    </row>
    <row r="612" spans="2:6" ht="13" x14ac:dyDescent="0.3">
      <c r="B612" s="3"/>
      <c r="F612" s="4"/>
    </row>
    <row r="613" spans="2:6" ht="13" x14ac:dyDescent="0.3">
      <c r="B613" s="3"/>
      <c r="F613" s="4"/>
    </row>
    <row r="614" spans="2:6" ht="13" x14ac:dyDescent="0.3">
      <c r="B614" s="3"/>
      <c r="F614" s="4"/>
    </row>
    <row r="615" spans="2:6" ht="13" x14ac:dyDescent="0.3">
      <c r="B615" s="3"/>
      <c r="F615" s="4"/>
    </row>
    <row r="616" spans="2:6" ht="13" x14ac:dyDescent="0.3">
      <c r="B616" s="3"/>
      <c r="F616" s="4"/>
    </row>
    <row r="617" spans="2:6" ht="13" x14ac:dyDescent="0.3">
      <c r="B617" s="3"/>
      <c r="F617" s="4"/>
    </row>
    <row r="618" spans="2:6" ht="13" x14ac:dyDescent="0.3">
      <c r="B618" s="3"/>
      <c r="F618" s="4"/>
    </row>
    <row r="619" spans="2:6" ht="13" x14ac:dyDescent="0.3">
      <c r="B619" s="3"/>
      <c r="F619" s="4"/>
    </row>
    <row r="620" spans="2:6" ht="13" x14ac:dyDescent="0.3">
      <c r="B620" s="3"/>
      <c r="F620" s="4"/>
    </row>
    <row r="621" spans="2:6" ht="13" x14ac:dyDescent="0.3">
      <c r="B621" s="3"/>
      <c r="F621" s="4"/>
    </row>
    <row r="622" spans="2:6" ht="13" x14ac:dyDescent="0.3">
      <c r="B622" s="3"/>
      <c r="F622" s="4"/>
    </row>
    <row r="623" spans="2:6" ht="13" x14ac:dyDescent="0.3">
      <c r="B623" s="3"/>
      <c r="F623" s="4"/>
    </row>
    <row r="624" spans="2:6" ht="13" x14ac:dyDescent="0.3">
      <c r="B624" s="3"/>
      <c r="F624" s="4"/>
    </row>
    <row r="625" spans="2:6" ht="13" x14ac:dyDescent="0.3">
      <c r="B625" s="3"/>
      <c r="F625" s="4"/>
    </row>
    <row r="626" spans="2:6" ht="13" x14ac:dyDescent="0.3">
      <c r="B626" s="3"/>
      <c r="F626" s="4"/>
    </row>
    <row r="627" spans="2:6" ht="13" x14ac:dyDescent="0.3">
      <c r="B627" s="3"/>
      <c r="F627" s="4"/>
    </row>
    <row r="628" spans="2:6" ht="13" x14ac:dyDescent="0.3">
      <c r="B628" s="3"/>
      <c r="F628" s="4"/>
    </row>
    <row r="629" spans="2:6" ht="13" x14ac:dyDescent="0.3">
      <c r="B629" s="3"/>
      <c r="F629" s="4"/>
    </row>
    <row r="630" spans="2:6" ht="13" x14ac:dyDescent="0.3">
      <c r="B630" s="3"/>
      <c r="F630" s="4"/>
    </row>
    <row r="631" spans="2:6" ht="13" x14ac:dyDescent="0.3">
      <c r="B631" s="3"/>
      <c r="F631" s="4"/>
    </row>
    <row r="632" spans="2:6" ht="13" x14ac:dyDescent="0.3">
      <c r="B632" s="3"/>
      <c r="F632" s="4"/>
    </row>
    <row r="633" spans="2:6" ht="13" x14ac:dyDescent="0.3">
      <c r="B633" s="3"/>
      <c r="F633" s="4"/>
    </row>
    <row r="634" spans="2:6" ht="13" x14ac:dyDescent="0.3">
      <c r="B634" s="3"/>
      <c r="F634" s="4"/>
    </row>
    <row r="635" spans="2:6" ht="13" x14ac:dyDescent="0.3">
      <c r="B635" s="3"/>
      <c r="F635" s="4"/>
    </row>
    <row r="636" spans="2:6" ht="13" x14ac:dyDescent="0.3">
      <c r="B636" s="3"/>
      <c r="F636" s="4"/>
    </row>
    <row r="637" spans="2:6" ht="13" x14ac:dyDescent="0.3">
      <c r="B637" s="3"/>
      <c r="F637" s="4"/>
    </row>
    <row r="638" spans="2:6" ht="13" x14ac:dyDescent="0.3">
      <c r="B638" s="3"/>
      <c r="F638" s="4"/>
    </row>
    <row r="639" spans="2:6" ht="13" x14ac:dyDescent="0.3">
      <c r="B639" s="3"/>
      <c r="F639" s="4"/>
    </row>
    <row r="640" spans="2:6" ht="13" x14ac:dyDescent="0.3">
      <c r="B640" s="3"/>
      <c r="F640" s="4"/>
    </row>
    <row r="641" spans="2:6" ht="13" x14ac:dyDescent="0.3">
      <c r="B641" s="3"/>
      <c r="F641" s="4"/>
    </row>
    <row r="642" spans="2:6" ht="13" x14ac:dyDescent="0.3">
      <c r="B642" s="3"/>
      <c r="F642" s="4"/>
    </row>
    <row r="643" spans="2:6" ht="13" x14ac:dyDescent="0.3">
      <c r="B643" s="3"/>
      <c r="F643" s="4"/>
    </row>
    <row r="644" spans="2:6" ht="13" x14ac:dyDescent="0.3">
      <c r="B644" s="3"/>
      <c r="F644" s="4"/>
    </row>
    <row r="645" spans="2:6" ht="13" x14ac:dyDescent="0.3">
      <c r="B645" s="3"/>
      <c r="F645" s="4"/>
    </row>
    <row r="646" spans="2:6" ht="13" x14ac:dyDescent="0.3">
      <c r="B646" s="3"/>
      <c r="F646" s="4"/>
    </row>
    <row r="647" spans="2:6" ht="13" x14ac:dyDescent="0.3">
      <c r="B647" s="3"/>
      <c r="F647" s="4"/>
    </row>
    <row r="648" spans="2:6" ht="13" x14ac:dyDescent="0.3">
      <c r="B648" s="3"/>
      <c r="F648" s="4"/>
    </row>
    <row r="649" spans="2:6" ht="13" x14ac:dyDescent="0.3">
      <c r="B649" s="3"/>
      <c r="F649" s="4"/>
    </row>
    <row r="650" spans="2:6" ht="13" x14ac:dyDescent="0.3">
      <c r="B650" s="3"/>
      <c r="F650" s="4"/>
    </row>
    <row r="651" spans="2:6" ht="13" x14ac:dyDescent="0.3">
      <c r="B651" s="3"/>
      <c r="F651" s="4"/>
    </row>
    <row r="652" spans="2:6" ht="13" x14ac:dyDescent="0.3">
      <c r="B652" s="3"/>
      <c r="F652" s="4"/>
    </row>
    <row r="653" spans="2:6" ht="13" x14ac:dyDescent="0.3">
      <c r="B653" s="3"/>
      <c r="F653" s="4"/>
    </row>
    <row r="654" spans="2:6" ht="13" x14ac:dyDescent="0.3">
      <c r="B654" s="3"/>
      <c r="F654" s="4"/>
    </row>
    <row r="655" spans="2:6" ht="13" x14ac:dyDescent="0.3">
      <c r="B655" s="3"/>
      <c r="F655" s="4"/>
    </row>
    <row r="656" spans="2:6" ht="13" x14ac:dyDescent="0.3">
      <c r="B656" s="3"/>
      <c r="F656" s="4"/>
    </row>
    <row r="657" spans="2:6" ht="13" x14ac:dyDescent="0.3">
      <c r="B657" s="3"/>
      <c r="F657" s="4"/>
    </row>
    <row r="658" spans="2:6" ht="13" x14ac:dyDescent="0.3">
      <c r="B658" s="3"/>
      <c r="F658" s="4"/>
    </row>
    <row r="659" spans="2:6" ht="13" x14ac:dyDescent="0.3">
      <c r="B659" s="3"/>
      <c r="F659" s="4"/>
    </row>
    <row r="660" spans="2:6" ht="13" x14ac:dyDescent="0.3">
      <c r="B660" s="3"/>
      <c r="F660" s="4"/>
    </row>
    <row r="661" spans="2:6" ht="13" x14ac:dyDescent="0.3">
      <c r="B661" s="3"/>
      <c r="F661" s="4"/>
    </row>
    <row r="662" spans="2:6" ht="13" x14ac:dyDescent="0.3">
      <c r="B662" s="3"/>
      <c r="F662" s="4"/>
    </row>
    <row r="663" spans="2:6" ht="13" x14ac:dyDescent="0.3">
      <c r="B663" s="3"/>
      <c r="F663" s="4"/>
    </row>
    <row r="664" spans="2:6" ht="13" x14ac:dyDescent="0.3">
      <c r="B664" s="3"/>
      <c r="F664" s="4"/>
    </row>
    <row r="665" spans="2:6" ht="13" x14ac:dyDescent="0.3">
      <c r="B665" s="3"/>
      <c r="F665" s="4"/>
    </row>
    <row r="666" spans="2:6" ht="13" x14ac:dyDescent="0.3">
      <c r="B666" s="3"/>
      <c r="F666" s="4"/>
    </row>
    <row r="667" spans="2:6" ht="13" x14ac:dyDescent="0.3">
      <c r="B667" s="3"/>
      <c r="F667" s="4"/>
    </row>
    <row r="668" spans="2:6" ht="13" x14ac:dyDescent="0.3">
      <c r="B668" s="3"/>
      <c r="F668" s="4"/>
    </row>
    <row r="669" spans="2:6" ht="13" x14ac:dyDescent="0.3">
      <c r="B669" s="3"/>
      <c r="F669" s="4"/>
    </row>
    <row r="670" spans="2:6" ht="13" x14ac:dyDescent="0.3">
      <c r="B670" s="3"/>
      <c r="F670" s="4"/>
    </row>
    <row r="671" spans="2:6" ht="13" x14ac:dyDescent="0.3">
      <c r="B671" s="3"/>
      <c r="F671" s="4"/>
    </row>
    <row r="672" spans="2:6" ht="13" x14ac:dyDescent="0.3">
      <c r="B672" s="3"/>
      <c r="F672" s="4"/>
    </row>
    <row r="673" spans="2:6" ht="13" x14ac:dyDescent="0.3">
      <c r="B673" s="3"/>
      <c r="F673" s="4"/>
    </row>
    <row r="674" spans="2:6" ht="13" x14ac:dyDescent="0.3">
      <c r="B674" s="3"/>
      <c r="F674" s="4"/>
    </row>
    <row r="675" spans="2:6" ht="13" x14ac:dyDescent="0.3">
      <c r="B675" s="3"/>
      <c r="F675" s="4"/>
    </row>
    <row r="676" spans="2:6" ht="13" x14ac:dyDescent="0.3">
      <c r="B676" s="3"/>
      <c r="F676" s="4"/>
    </row>
    <row r="677" spans="2:6" ht="13" x14ac:dyDescent="0.3">
      <c r="B677" s="3"/>
      <c r="F677" s="4"/>
    </row>
    <row r="678" spans="2:6" ht="13" x14ac:dyDescent="0.3">
      <c r="B678" s="3"/>
      <c r="F678" s="4"/>
    </row>
    <row r="679" spans="2:6" ht="13" x14ac:dyDescent="0.3">
      <c r="B679" s="3"/>
      <c r="F679" s="4"/>
    </row>
    <row r="680" spans="2:6" ht="13" x14ac:dyDescent="0.3">
      <c r="B680" s="3"/>
      <c r="F680" s="4"/>
    </row>
    <row r="681" spans="2:6" ht="13" x14ac:dyDescent="0.3">
      <c r="B681" s="3"/>
      <c r="F681" s="4"/>
    </row>
    <row r="682" spans="2:6" ht="13" x14ac:dyDescent="0.3">
      <c r="B682" s="3"/>
      <c r="F682" s="4"/>
    </row>
    <row r="683" spans="2:6" ht="13" x14ac:dyDescent="0.3">
      <c r="B683" s="3"/>
      <c r="F683" s="4"/>
    </row>
    <row r="684" spans="2:6" ht="13" x14ac:dyDescent="0.3">
      <c r="B684" s="3"/>
      <c r="F684" s="4"/>
    </row>
    <row r="685" spans="2:6" ht="13" x14ac:dyDescent="0.3">
      <c r="B685" s="3"/>
      <c r="F685" s="4"/>
    </row>
    <row r="686" spans="2:6" ht="13" x14ac:dyDescent="0.3">
      <c r="B686" s="3"/>
      <c r="F686" s="4"/>
    </row>
    <row r="687" spans="2:6" ht="13" x14ac:dyDescent="0.3">
      <c r="B687" s="3"/>
      <c r="F687" s="4"/>
    </row>
    <row r="688" spans="2:6" ht="13" x14ac:dyDescent="0.3">
      <c r="B688" s="3"/>
      <c r="F688" s="4"/>
    </row>
    <row r="689" spans="2:6" ht="13" x14ac:dyDescent="0.3">
      <c r="B689" s="3"/>
      <c r="F689" s="4"/>
    </row>
    <row r="690" spans="2:6" ht="13" x14ac:dyDescent="0.3">
      <c r="B690" s="3"/>
      <c r="F690" s="4"/>
    </row>
    <row r="691" spans="2:6" ht="13" x14ac:dyDescent="0.3">
      <c r="B691" s="3"/>
      <c r="F691" s="4"/>
    </row>
    <row r="692" spans="2:6" ht="13" x14ac:dyDescent="0.3">
      <c r="B692" s="3"/>
      <c r="F692" s="4"/>
    </row>
    <row r="693" spans="2:6" ht="13" x14ac:dyDescent="0.3">
      <c r="B693" s="3"/>
      <c r="F693" s="4"/>
    </row>
    <row r="694" spans="2:6" ht="13" x14ac:dyDescent="0.3">
      <c r="B694" s="3"/>
      <c r="F694" s="4"/>
    </row>
    <row r="695" spans="2:6" ht="13" x14ac:dyDescent="0.3">
      <c r="B695" s="3"/>
      <c r="F695" s="4"/>
    </row>
    <row r="696" spans="2:6" ht="13" x14ac:dyDescent="0.3">
      <c r="B696" s="3"/>
      <c r="F696" s="4"/>
    </row>
    <row r="697" spans="2:6" ht="13" x14ac:dyDescent="0.3">
      <c r="B697" s="3"/>
      <c r="F697" s="4"/>
    </row>
    <row r="698" spans="2:6" ht="13" x14ac:dyDescent="0.3">
      <c r="B698" s="3"/>
      <c r="F698" s="4"/>
    </row>
    <row r="699" spans="2:6" ht="13" x14ac:dyDescent="0.3">
      <c r="B699" s="3"/>
      <c r="F699" s="4"/>
    </row>
    <row r="700" spans="2:6" ht="13" x14ac:dyDescent="0.3">
      <c r="B700" s="3"/>
      <c r="F700" s="4"/>
    </row>
    <row r="701" spans="2:6" ht="13" x14ac:dyDescent="0.3">
      <c r="B701" s="3"/>
      <c r="F701" s="4"/>
    </row>
    <row r="702" spans="2:6" ht="13" x14ac:dyDescent="0.3">
      <c r="B702" s="3"/>
      <c r="F702" s="4"/>
    </row>
    <row r="703" spans="2:6" ht="13" x14ac:dyDescent="0.3">
      <c r="B703" s="3"/>
      <c r="F703" s="4"/>
    </row>
    <row r="704" spans="2:6" ht="13" x14ac:dyDescent="0.3">
      <c r="B704" s="3"/>
      <c r="F704" s="4"/>
    </row>
    <row r="705" spans="2:6" ht="13" x14ac:dyDescent="0.3">
      <c r="B705" s="3"/>
      <c r="F705" s="4"/>
    </row>
    <row r="706" spans="2:6" ht="13" x14ac:dyDescent="0.3">
      <c r="B706" s="3"/>
      <c r="F706" s="4"/>
    </row>
    <row r="707" spans="2:6" ht="13" x14ac:dyDescent="0.3">
      <c r="B707" s="3"/>
      <c r="F707" s="4"/>
    </row>
    <row r="708" spans="2:6" ht="13" x14ac:dyDescent="0.3">
      <c r="B708" s="3"/>
      <c r="F708" s="4"/>
    </row>
    <row r="709" spans="2:6" ht="13" x14ac:dyDescent="0.3">
      <c r="B709" s="3"/>
      <c r="F709" s="4"/>
    </row>
    <row r="710" spans="2:6" ht="13" x14ac:dyDescent="0.3">
      <c r="B710" s="3"/>
      <c r="F710" s="4"/>
    </row>
    <row r="711" spans="2:6" ht="13" x14ac:dyDescent="0.3">
      <c r="B711" s="3"/>
      <c r="F711" s="4"/>
    </row>
    <row r="712" spans="2:6" ht="13" x14ac:dyDescent="0.3">
      <c r="B712" s="3"/>
      <c r="F712" s="4"/>
    </row>
    <row r="713" spans="2:6" ht="13" x14ac:dyDescent="0.3">
      <c r="B713" s="3"/>
      <c r="F713" s="4"/>
    </row>
    <row r="714" spans="2:6" ht="13" x14ac:dyDescent="0.3">
      <c r="B714" s="3"/>
      <c r="F714" s="4"/>
    </row>
    <row r="715" spans="2:6" ht="13" x14ac:dyDescent="0.3">
      <c r="B715" s="3"/>
      <c r="F715" s="4"/>
    </row>
    <row r="716" spans="2:6" ht="13" x14ac:dyDescent="0.3">
      <c r="B716" s="3"/>
      <c r="F716" s="4"/>
    </row>
    <row r="717" spans="2:6" ht="13" x14ac:dyDescent="0.3">
      <c r="B717" s="3"/>
      <c r="F717" s="4"/>
    </row>
    <row r="718" spans="2:6" ht="13" x14ac:dyDescent="0.3">
      <c r="B718" s="3"/>
      <c r="F718" s="4"/>
    </row>
    <row r="719" spans="2:6" ht="13" x14ac:dyDescent="0.3">
      <c r="B719" s="3"/>
      <c r="F719" s="4"/>
    </row>
    <row r="720" spans="2:6" ht="13" x14ac:dyDescent="0.3">
      <c r="B720" s="3"/>
      <c r="F720" s="4"/>
    </row>
    <row r="721" spans="2:6" ht="13" x14ac:dyDescent="0.3">
      <c r="B721" s="3"/>
      <c r="F721" s="4"/>
    </row>
    <row r="722" spans="2:6" ht="13" x14ac:dyDescent="0.3">
      <c r="B722" s="3"/>
      <c r="F722" s="4"/>
    </row>
    <row r="723" spans="2:6" ht="13" x14ac:dyDescent="0.3">
      <c r="B723" s="3"/>
      <c r="F723" s="4"/>
    </row>
    <row r="724" spans="2:6" ht="13" x14ac:dyDescent="0.3">
      <c r="B724" s="3"/>
      <c r="F724" s="4"/>
    </row>
    <row r="725" spans="2:6" ht="13" x14ac:dyDescent="0.3">
      <c r="B725" s="3"/>
      <c r="F725" s="4"/>
    </row>
    <row r="726" spans="2:6" ht="13" x14ac:dyDescent="0.3">
      <c r="B726" s="3"/>
      <c r="F726" s="4"/>
    </row>
    <row r="727" spans="2:6" ht="13" x14ac:dyDescent="0.3">
      <c r="B727" s="3"/>
      <c r="F727" s="4"/>
    </row>
    <row r="728" spans="2:6" ht="13" x14ac:dyDescent="0.3">
      <c r="B728" s="3"/>
      <c r="F728" s="4"/>
    </row>
    <row r="729" spans="2:6" ht="13" x14ac:dyDescent="0.3">
      <c r="B729" s="3"/>
      <c r="F729" s="4"/>
    </row>
    <row r="730" spans="2:6" ht="13" x14ac:dyDescent="0.3">
      <c r="B730" s="3"/>
      <c r="F730" s="4"/>
    </row>
    <row r="731" spans="2:6" ht="13" x14ac:dyDescent="0.3">
      <c r="B731" s="3"/>
      <c r="F731" s="4"/>
    </row>
    <row r="732" spans="2:6" ht="13" x14ac:dyDescent="0.3">
      <c r="B732" s="3"/>
      <c r="F732" s="4"/>
    </row>
    <row r="733" spans="2:6" ht="13" x14ac:dyDescent="0.3">
      <c r="B733" s="3"/>
      <c r="F733" s="4"/>
    </row>
    <row r="734" spans="2:6" ht="13" x14ac:dyDescent="0.3">
      <c r="B734" s="3"/>
      <c r="F734" s="4"/>
    </row>
    <row r="735" spans="2:6" ht="13" x14ac:dyDescent="0.3">
      <c r="B735" s="3"/>
      <c r="F735" s="4"/>
    </row>
    <row r="736" spans="2:6" ht="13" x14ac:dyDescent="0.3">
      <c r="B736" s="3"/>
      <c r="F736" s="4"/>
    </row>
    <row r="737" spans="2:6" ht="13" x14ac:dyDescent="0.3">
      <c r="B737" s="3"/>
      <c r="F737" s="4"/>
    </row>
    <row r="738" spans="2:6" ht="13" x14ac:dyDescent="0.3">
      <c r="B738" s="3"/>
      <c r="F738" s="4"/>
    </row>
    <row r="739" spans="2:6" ht="13" x14ac:dyDescent="0.3">
      <c r="B739" s="3"/>
      <c r="F739" s="4"/>
    </row>
    <row r="740" spans="2:6" ht="13" x14ac:dyDescent="0.3">
      <c r="B740" s="3"/>
      <c r="F740" s="4"/>
    </row>
    <row r="741" spans="2:6" ht="13" x14ac:dyDescent="0.3">
      <c r="B741" s="3"/>
      <c r="F741" s="4"/>
    </row>
    <row r="742" spans="2:6" ht="13" x14ac:dyDescent="0.3">
      <c r="B742" s="3"/>
      <c r="F742" s="4"/>
    </row>
    <row r="743" spans="2:6" ht="13" x14ac:dyDescent="0.3">
      <c r="B743" s="3"/>
      <c r="F743" s="4"/>
    </row>
    <row r="744" spans="2:6" ht="13" x14ac:dyDescent="0.3">
      <c r="B744" s="3"/>
      <c r="F744" s="4"/>
    </row>
    <row r="745" spans="2:6" ht="13" x14ac:dyDescent="0.3">
      <c r="B745" s="3"/>
      <c r="F745" s="4"/>
    </row>
    <row r="746" spans="2:6" ht="13" x14ac:dyDescent="0.3">
      <c r="B746" s="3"/>
      <c r="F746" s="4"/>
    </row>
    <row r="747" spans="2:6" ht="13" x14ac:dyDescent="0.3">
      <c r="B747" s="3"/>
      <c r="F747" s="4"/>
    </row>
    <row r="748" spans="2:6" ht="13" x14ac:dyDescent="0.3">
      <c r="B748" s="3"/>
      <c r="F748" s="4"/>
    </row>
    <row r="749" spans="2:6" ht="13" x14ac:dyDescent="0.3">
      <c r="B749" s="3"/>
      <c r="F749" s="4"/>
    </row>
    <row r="750" spans="2:6" ht="13" x14ac:dyDescent="0.3">
      <c r="B750" s="3"/>
      <c r="F750" s="4"/>
    </row>
    <row r="751" spans="2:6" ht="13" x14ac:dyDescent="0.3">
      <c r="B751" s="3"/>
      <c r="F751" s="4"/>
    </row>
    <row r="752" spans="2:6" ht="13" x14ac:dyDescent="0.3">
      <c r="B752" s="3"/>
      <c r="F752" s="4"/>
    </row>
    <row r="753" spans="2:6" ht="13" x14ac:dyDescent="0.3">
      <c r="B753" s="3"/>
      <c r="F753" s="4"/>
    </row>
    <row r="754" spans="2:6" ht="13" x14ac:dyDescent="0.3">
      <c r="B754" s="3"/>
      <c r="F754" s="4"/>
    </row>
    <row r="755" spans="2:6" ht="13" x14ac:dyDescent="0.3">
      <c r="B755" s="3"/>
      <c r="F755" s="4"/>
    </row>
    <row r="756" spans="2:6" ht="13" x14ac:dyDescent="0.3">
      <c r="B756" s="3"/>
      <c r="F756" s="4"/>
    </row>
    <row r="757" spans="2:6" ht="13" x14ac:dyDescent="0.3">
      <c r="B757" s="3"/>
      <c r="F757" s="4"/>
    </row>
    <row r="758" spans="2:6" ht="13" x14ac:dyDescent="0.3">
      <c r="B758" s="3"/>
      <c r="F758" s="4"/>
    </row>
    <row r="759" spans="2:6" ht="13" x14ac:dyDescent="0.3">
      <c r="B759" s="3"/>
      <c r="F759" s="4"/>
    </row>
    <row r="760" spans="2:6" ht="13" x14ac:dyDescent="0.3">
      <c r="B760" s="3"/>
      <c r="F760" s="4"/>
    </row>
    <row r="761" spans="2:6" ht="13" x14ac:dyDescent="0.3">
      <c r="B761" s="3"/>
      <c r="F761" s="4"/>
    </row>
    <row r="762" spans="2:6" ht="13" x14ac:dyDescent="0.3">
      <c r="B762" s="3"/>
      <c r="F762" s="4"/>
    </row>
    <row r="763" spans="2:6" ht="13" x14ac:dyDescent="0.3">
      <c r="B763" s="3"/>
      <c r="F763" s="4"/>
    </row>
    <row r="764" spans="2:6" ht="13" x14ac:dyDescent="0.3">
      <c r="B764" s="3"/>
      <c r="F764" s="4"/>
    </row>
    <row r="765" spans="2:6" ht="13" x14ac:dyDescent="0.3">
      <c r="B765" s="3"/>
      <c r="F765" s="4"/>
    </row>
    <row r="766" spans="2:6" ht="13" x14ac:dyDescent="0.3">
      <c r="B766" s="3"/>
      <c r="F766" s="4"/>
    </row>
    <row r="767" spans="2:6" ht="13" x14ac:dyDescent="0.3">
      <c r="B767" s="3"/>
      <c r="F767" s="4"/>
    </row>
    <row r="768" spans="2:6" ht="13" x14ac:dyDescent="0.3">
      <c r="B768" s="3"/>
      <c r="F768" s="4"/>
    </row>
    <row r="769" spans="2:6" ht="13" x14ac:dyDescent="0.3">
      <c r="B769" s="3"/>
      <c r="F769" s="4"/>
    </row>
    <row r="770" spans="2:6" ht="13" x14ac:dyDescent="0.3">
      <c r="B770" s="3"/>
      <c r="F770" s="4"/>
    </row>
    <row r="771" spans="2:6" ht="13" x14ac:dyDescent="0.3">
      <c r="B771" s="3"/>
      <c r="F771" s="4"/>
    </row>
    <row r="772" spans="2:6" ht="13" x14ac:dyDescent="0.3">
      <c r="B772" s="3"/>
      <c r="F772" s="4"/>
    </row>
    <row r="773" spans="2:6" ht="13" x14ac:dyDescent="0.3">
      <c r="B773" s="3"/>
      <c r="F773" s="4"/>
    </row>
    <row r="774" spans="2:6" ht="13" x14ac:dyDescent="0.3">
      <c r="B774" s="3"/>
      <c r="F774" s="4"/>
    </row>
    <row r="775" spans="2:6" ht="13" x14ac:dyDescent="0.3">
      <c r="B775" s="3"/>
      <c r="F775" s="4"/>
    </row>
    <row r="776" spans="2:6" ht="13" x14ac:dyDescent="0.3">
      <c r="B776" s="3"/>
      <c r="F776" s="4"/>
    </row>
    <row r="777" spans="2:6" ht="13" x14ac:dyDescent="0.3">
      <c r="B777" s="3"/>
      <c r="F777" s="4"/>
    </row>
    <row r="778" spans="2:6" ht="13" x14ac:dyDescent="0.3">
      <c r="B778" s="3"/>
      <c r="F778" s="4"/>
    </row>
    <row r="779" spans="2:6" ht="13" x14ac:dyDescent="0.3">
      <c r="B779" s="3"/>
      <c r="F779" s="4"/>
    </row>
    <row r="780" spans="2:6" ht="13" x14ac:dyDescent="0.3">
      <c r="B780" s="3"/>
      <c r="F780" s="4"/>
    </row>
    <row r="781" spans="2:6" ht="13" x14ac:dyDescent="0.3">
      <c r="B781" s="3"/>
      <c r="F781" s="4"/>
    </row>
    <row r="782" spans="2:6" ht="13" x14ac:dyDescent="0.3">
      <c r="B782" s="3"/>
      <c r="F782" s="4"/>
    </row>
    <row r="783" spans="2:6" ht="13" x14ac:dyDescent="0.3">
      <c r="B783" s="3"/>
      <c r="F783" s="4"/>
    </row>
    <row r="784" spans="2:6" ht="13" x14ac:dyDescent="0.3">
      <c r="B784" s="3"/>
      <c r="F784" s="4"/>
    </row>
    <row r="785" spans="2:6" ht="13" x14ac:dyDescent="0.3">
      <c r="B785" s="3"/>
      <c r="F785" s="4"/>
    </row>
    <row r="786" spans="2:6" ht="13" x14ac:dyDescent="0.3">
      <c r="B786" s="3"/>
      <c r="F786" s="4"/>
    </row>
    <row r="787" spans="2:6" ht="13" x14ac:dyDescent="0.3">
      <c r="B787" s="3"/>
      <c r="F787" s="4"/>
    </row>
    <row r="788" spans="2:6" ht="13" x14ac:dyDescent="0.3">
      <c r="B788" s="3"/>
      <c r="F788" s="4"/>
    </row>
    <row r="789" spans="2:6" ht="13" x14ac:dyDescent="0.3">
      <c r="B789" s="3"/>
      <c r="F789" s="4"/>
    </row>
    <row r="790" spans="2:6" ht="13" x14ac:dyDescent="0.3">
      <c r="B790" s="3"/>
      <c r="F790" s="4"/>
    </row>
    <row r="791" spans="2:6" ht="13" x14ac:dyDescent="0.3">
      <c r="B791" s="3"/>
      <c r="F791" s="4"/>
    </row>
    <row r="792" spans="2:6" ht="13" x14ac:dyDescent="0.3">
      <c r="B792" s="3"/>
      <c r="F792" s="4"/>
    </row>
    <row r="793" spans="2:6" ht="13" x14ac:dyDescent="0.3">
      <c r="B793" s="3"/>
      <c r="F793" s="4"/>
    </row>
    <row r="794" spans="2:6" ht="13" x14ac:dyDescent="0.3">
      <c r="B794" s="3"/>
      <c r="F794" s="4"/>
    </row>
    <row r="795" spans="2:6" ht="13" x14ac:dyDescent="0.3">
      <c r="B795" s="3"/>
      <c r="F795" s="4"/>
    </row>
    <row r="796" spans="2:6" ht="13" x14ac:dyDescent="0.3">
      <c r="B796" s="3"/>
      <c r="F796" s="4"/>
    </row>
    <row r="797" spans="2:6" ht="13" x14ac:dyDescent="0.3">
      <c r="B797" s="3"/>
      <c r="F797" s="4"/>
    </row>
    <row r="798" spans="2:6" ht="13" x14ac:dyDescent="0.3">
      <c r="B798" s="3"/>
      <c r="F798" s="4"/>
    </row>
    <row r="799" spans="2:6" ht="13" x14ac:dyDescent="0.3">
      <c r="B799" s="3"/>
      <c r="F799" s="4"/>
    </row>
    <row r="800" spans="2:6" ht="13" x14ac:dyDescent="0.3">
      <c r="B800" s="3"/>
      <c r="F800" s="4"/>
    </row>
    <row r="801" spans="2:6" ht="13" x14ac:dyDescent="0.3">
      <c r="B801" s="3"/>
      <c r="F801" s="4"/>
    </row>
    <row r="802" spans="2:6" ht="13" x14ac:dyDescent="0.3">
      <c r="B802" s="3"/>
      <c r="F802" s="4"/>
    </row>
    <row r="803" spans="2:6" ht="13" x14ac:dyDescent="0.3">
      <c r="B803" s="3"/>
      <c r="F803" s="4"/>
    </row>
    <row r="804" spans="2:6" ht="13" x14ac:dyDescent="0.3">
      <c r="B804" s="3"/>
      <c r="F804" s="4"/>
    </row>
    <row r="805" spans="2:6" ht="13" x14ac:dyDescent="0.3">
      <c r="B805" s="3"/>
      <c r="F805" s="4"/>
    </row>
    <row r="806" spans="2:6" ht="13" x14ac:dyDescent="0.3">
      <c r="B806" s="3"/>
      <c r="F806" s="4"/>
    </row>
    <row r="807" spans="2:6" ht="13" x14ac:dyDescent="0.3">
      <c r="B807" s="3"/>
      <c r="F807" s="4"/>
    </row>
    <row r="808" spans="2:6" ht="13" x14ac:dyDescent="0.3">
      <c r="B808" s="3"/>
      <c r="F808" s="4"/>
    </row>
    <row r="809" spans="2:6" ht="13" x14ac:dyDescent="0.3">
      <c r="B809" s="3"/>
      <c r="F809" s="4"/>
    </row>
    <row r="810" spans="2:6" ht="13" x14ac:dyDescent="0.3">
      <c r="B810" s="3"/>
      <c r="F810" s="4"/>
    </row>
    <row r="811" spans="2:6" ht="13" x14ac:dyDescent="0.3">
      <c r="B811" s="3"/>
      <c r="F811" s="4"/>
    </row>
    <row r="812" spans="2:6" ht="13" x14ac:dyDescent="0.3">
      <c r="B812" s="3"/>
      <c r="F812" s="4"/>
    </row>
    <row r="813" spans="2:6" ht="13" x14ac:dyDescent="0.3">
      <c r="B813" s="3"/>
      <c r="F813" s="4"/>
    </row>
    <row r="814" spans="2:6" ht="13" x14ac:dyDescent="0.3">
      <c r="B814" s="3"/>
      <c r="F814" s="4"/>
    </row>
    <row r="815" spans="2:6" ht="13" x14ac:dyDescent="0.3">
      <c r="B815" s="3"/>
      <c r="F815" s="4"/>
    </row>
    <row r="816" spans="2:6" ht="13" x14ac:dyDescent="0.3">
      <c r="B816" s="3"/>
      <c r="F816" s="4"/>
    </row>
    <row r="817" spans="2:6" ht="13" x14ac:dyDescent="0.3">
      <c r="B817" s="3"/>
      <c r="F817" s="4"/>
    </row>
    <row r="818" spans="2:6" ht="13" x14ac:dyDescent="0.3">
      <c r="B818" s="3"/>
      <c r="F818" s="4"/>
    </row>
    <row r="819" spans="2:6" ht="13" x14ac:dyDescent="0.3">
      <c r="B819" s="3"/>
      <c r="F819" s="4"/>
    </row>
    <row r="820" spans="2:6" ht="13" x14ac:dyDescent="0.3">
      <c r="B820" s="3"/>
      <c r="F820" s="4"/>
    </row>
    <row r="821" spans="2:6" ht="13" x14ac:dyDescent="0.3">
      <c r="B821" s="3"/>
      <c r="F821" s="4"/>
    </row>
    <row r="822" spans="2:6" ht="13" x14ac:dyDescent="0.3">
      <c r="B822" s="3"/>
      <c r="F822" s="4"/>
    </row>
    <row r="823" spans="2:6" ht="13" x14ac:dyDescent="0.3">
      <c r="B823" s="3"/>
      <c r="F823" s="4"/>
    </row>
    <row r="824" spans="2:6" ht="13" x14ac:dyDescent="0.3">
      <c r="B824" s="3"/>
      <c r="F824" s="4"/>
    </row>
    <row r="825" spans="2:6" ht="13" x14ac:dyDescent="0.3">
      <c r="B825" s="3"/>
      <c r="F825" s="4"/>
    </row>
    <row r="826" spans="2:6" ht="13" x14ac:dyDescent="0.3">
      <c r="B826" s="3"/>
      <c r="F826" s="4"/>
    </row>
    <row r="827" spans="2:6" ht="13" x14ac:dyDescent="0.3">
      <c r="B827" s="3"/>
      <c r="F827" s="4"/>
    </row>
    <row r="828" spans="2:6" ht="13" x14ac:dyDescent="0.3">
      <c r="B828" s="3"/>
      <c r="F828" s="4"/>
    </row>
    <row r="829" spans="2:6" ht="13" x14ac:dyDescent="0.3">
      <c r="B829" s="3"/>
      <c r="F829" s="4"/>
    </row>
    <row r="830" spans="2:6" ht="13" x14ac:dyDescent="0.3">
      <c r="B830" s="3"/>
      <c r="F830" s="4"/>
    </row>
    <row r="831" spans="2:6" ht="13" x14ac:dyDescent="0.3">
      <c r="B831" s="3"/>
      <c r="F831" s="4"/>
    </row>
    <row r="832" spans="2:6" ht="13" x14ac:dyDescent="0.3">
      <c r="B832" s="3"/>
      <c r="F832" s="4"/>
    </row>
    <row r="833" spans="2:6" ht="13" x14ac:dyDescent="0.3">
      <c r="B833" s="3"/>
      <c r="F833" s="4"/>
    </row>
    <row r="834" spans="2:6" ht="13" x14ac:dyDescent="0.3">
      <c r="B834" s="3"/>
      <c r="F834" s="4"/>
    </row>
    <row r="835" spans="2:6" ht="13" x14ac:dyDescent="0.3">
      <c r="B835" s="3"/>
      <c r="F835" s="4"/>
    </row>
    <row r="836" spans="2:6" ht="13" x14ac:dyDescent="0.3">
      <c r="B836" s="3"/>
      <c r="F836" s="4"/>
    </row>
    <row r="837" spans="2:6" ht="13" x14ac:dyDescent="0.3">
      <c r="B837" s="3"/>
      <c r="F837" s="4"/>
    </row>
    <row r="838" spans="2:6" ht="13" x14ac:dyDescent="0.3">
      <c r="B838" s="3"/>
      <c r="F838" s="4"/>
    </row>
    <row r="839" spans="2:6" ht="13" x14ac:dyDescent="0.3">
      <c r="B839" s="3"/>
      <c r="F839" s="4"/>
    </row>
    <row r="840" spans="2:6" ht="13" x14ac:dyDescent="0.3">
      <c r="B840" s="3"/>
      <c r="F840" s="4"/>
    </row>
    <row r="841" spans="2:6" ht="13" x14ac:dyDescent="0.3">
      <c r="B841" s="3"/>
      <c r="F841" s="4"/>
    </row>
    <row r="842" spans="2:6" ht="13" x14ac:dyDescent="0.3">
      <c r="B842" s="3"/>
      <c r="F842" s="4"/>
    </row>
    <row r="843" spans="2:6" ht="13" x14ac:dyDescent="0.3">
      <c r="B843" s="3"/>
      <c r="F843" s="4"/>
    </row>
    <row r="844" spans="2:6" ht="13" x14ac:dyDescent="0.3">
      <c r="B844" s="3"/>
      <c r="F844" s="4"/>
    </row>
    <row r="845" spans="2:6" ht="13" x14ac:dyDescent="0.3">
      <c r="B845" s="3"/>
      <c r="F845" s="4"/>
    </row>
    <row r="846" spans="2:6" ht="13" x14ac:dyDescent="0.3">
      <c r="B846" s="3"/>
      <c r="F846" s="4"/>
    </row>
    <row r="847" spans="2:6" ht="13" x14ac:dyDescent="0.3">
      <c r="B847" s="3"/>
      <c r="F847" s="4"/>
    </row>
    <row r="848" spans="2:6" ht="13" x14ac:dyDescent="0.3">
      <c r="B848" s="3"/>
      <c r="F848" s="4"/>
    </row>
    <row r="849" spans="2:6" ht="13" x14ac:dyDescent="0.3">
      <c r="B849" s="3"/>
      <c r="F849" s="4"/>
    </row>
    <row r="850" spans="2:6" ht="13" x14ac:dyDescent="0.3">
      <c r="B850" s="3"/>
      <c r="F850" s="4"/>
    </row>
    <row r="851" spans="2:6" ht="13" x14ac:dyDescent="0.3">
      <c r="B851" s="3"/>
      <c r="F851" s="4"/>
    </row>
    <row r="852" spans="2:6" ht="13" x14ac:dyDescent="0.3">
      <c r="B852" s="3"/>
      <c r="F852" s="4"/>
    </row>
    <row r="853" spans="2:6" ht="13" x14ac:dyDescent="0.3">
      <c r="B853" s="3"/>
      <c r="F853" s="4"/>
    </row>
    <row r="854" spans="2:6" ht="13" x14ac:dyDescent="0.3">
      <c r="B854" s="3"/>
      <c r="F854" s="4"/>
    </row>
    <row r="855" spans="2:6" ht="13" x14ac:dyDescent="0.3">
      <c r="B855" s="3"/>
      <c r="F855" s="4"/>
    </row>
    <row r="856" spans="2:6" ht="13" x14ac:dyDescent="0.3">
      <c r="B856" s="3"/>
      <c r="F856" s="4"/>
    </row>
    <row r="857" spans="2:6" ht="13" x14ac:dyDescent="0.3">
      <c r="B857" s="3"/>
      <c r="F857" s="4"/>
    </row>
    <row r="858" spans="2:6" ht="13" x14ac:dyDescent="0.3">
      <c r="B858" s="3"/>
      <c r="F858" s="4"/>
    </row>
    <row r="859" spans="2:6" ht="13" x14ac:dyDescent="0.3">
      <c r="B859" s="3"/>
      <c r="F859" s="4"/>
    </row>
    <row r="860" spans="2:6" ht="13" x14ac:dyDescent="0.3">
      <c r="B860" s="3"/>
      <c r="F860" s="4"/>
    </row>
    <row r="861" spans="2:6" ht="13" x14ac:dyDescent="0.3">
      <c r="B861" s="3"/>
      <c r="F861" s="4"/>
    </row>
    <row r="862" spans="2:6" ht="13" x14ac:dyDescent="0.3">
      <c r="B862" s="3"/>
      <c r="F862" s="4"/>
    </row>
    <row r="863" spans="2:6" ht="13" x14ac:dyDescent="0.3">
      <c r="B863" s="3"/>
      <c r="F863" s="4"/>
    </row>
    <row r="864" spans="2:6" ht="13" x14ac:dyDescent="0.3">
      <c r="B864" s="3"/>
      <c r="F864" s="4"/>
    </row>
    <row r="865" spans="2:6" ht="13" x14ac:dyDescent="0.3">
      <c r="B865" s="3"/>
      <c r="F865" s="4"/>
    </row>
    <row r="866" spans="2:6" ht="13" x14ac:dyDescent="0.3">
      <c r="B866" s="3"/>
      <c r="F866" s="4"/>
    </row>
    <row r="867" spans="2:6" ht="13" x14ac:dyDescent="0.3">
      <c r="B867" s="3"/>
      <c r="F867" s="4"/>
    </row>
    <row r="868" spans="2:6" ht="13" x14ac:dyDescent="0.3">
      <c r="B868" s="3"/>
      <c r="F868" s="4"/>
    </row>
    <row r="869" spans="2:6" ht="13" x14ac:dyDescent="0.3">
      <c r="B869" s="3"/>
      <c r="F869" s="4"/>
    </row>
    <row r="870" spans="2:6" ht="13" x14ac:dyDescent="0.3">
      <c r="B870" s="3"/>
      <c r="F870" s="4"/>
    </row>
    <row r="871" spans="2:6" ht="13" x14ac:dyDescent="0.3">
      <c r="B871" s="3"/>
      <c r="F871" s="4"/>
    </row>
    <row r="872" spans="2:6" ht="13" x14ac:dyDescent="0.3">
      <c r="B872" s="3"/>
      <c r="F872" s="4"/>
    </row>
    <row r="873" spans="2:6" ht="13" x14ac:dyDescent="0.3">
      <c r="B873" s="3"/>
      <c r="F873" s="4"/>
    </row>
    <row r="874" spans="2:6" ht="13" x14ac:dyDescent="0.3">
      <c r="B874" s="3"/>
      <c r="F874" s="4"/>
    </row>
    <row r="875" spans="2:6" ht="13" x14ac:dyDescent="0.3">
      <c r="B875" s="3"/>
      <c r="F875" s="4"/>
    </row>
    <row r="876" spans="2:6" ht="13" x14ac:dyDescent="0.3">
      <c r="B876" s="3"/>
      <c r="F876" s="4"/>
    </row>
    <row r="877" spans="2:6" ht="13" x14ac:dyDescent="0.3">
      <c r="B877" s="3"/>
      <c r="F877" s="4"/>
    </row>
    <row r="878" spans="2:6" ht="13" x14ac:dyDescent="0.3">
      <c r="B878" s="3"/>
      <c r="F878" s="4"/>
    </row>
    <row r="879" spans="2:6" ht="13" x14ac:dyDescent="0.3">
      <c r="B879" s="3"/>
      <c r="F879" s="4"/>
    </row>
    <row r="880" spans="2:6" ht="13" x14ac:dyDescent="0.3">
      <c r="B880" s="3"/>
      <c r="F880" s="4"/>
    </row>
    <row r="881" spans="2:6" ht="13" x14ac:dyDescent="0.3">
      <c r="B881" s="3"/>
      <c r="F881" s="4"/>
    </row>
    <row r="882" spans="2:6" ht="13" x14ac:dyDescent="0.3">
      <c r="B882" s="3"/>
      <c r="F882" s="4"/>
    </row>
    <row r="883" spans="2:6" ht="13" x14ac:dyDescent="0.3">
      <c r="B883" s="3"/>
      <c r="F883" s="4"/>
    </row>
    <row r="884" spans="2:6" ht="13" x14ac:dyDescent="0.3">
      <c r="B884" s="3"/>
      <c r="F884" s="4"/>
    </row>
    <row r="885" spans="2:6" ht="13" x14ac:dyDescent="0.3">
      <c r="B885" s="3"/>
      <c r="F885" s="4"/>
    </row>
    <row r="886" spans="2:6" ht="13" x14ac:dyDescent="0.3">
      <c r="B886" s="3"/>
      <c r="F886" s="4"/>
    </row>
    <row r="887" spans="2:6" ht="13" x14ac:dyDescent="0.3">
      <c r="B887" s="3"/>
      <c r="F887" s="4"/>
    </row>
    <row r="888" spans="2:6" ht="13" x14ac:dyDescent="0.3">
      <c r="B888" s="3"/>
      <c r="F888" s="4"/>
    </row>
    <row r="889" spans="2:6" ht="13" x14ac:dyDescent="0.3">
      <c r="B889" s="3"/>
      <c r="F889" s="4"/>
    </row>
    <row r="890" spans="2:6" ht="13" x14ac:dyDescent="0.3">
      <c r="B890" s="3"/>
      <c r="F890" s="4"/>
    </row>
    <row r="891" spans="2:6" ht="13" x14ac:dyDescent="0.3">
      <c r="B891" s="3"/>
      <c r="F891" s="4"/>
    </row>
    <row r="892" spans="2:6" ht="13" x14ac:dyDescent="0.3">
      <c r="B892" s="3"/>
      <c r="F892" s="4"/>
    </row>
    <row r="893" spans="2:6" ht="13" x14ac:dyDescent="0.3">
      <c r="B893" s="3"/>
      <c r="F893" s="4"/>
    </row>
    <row r="894" spans="2:6" ht="13" x14ac:dyDescent="0.3">
      <c r="B894" s="3"/>
      <c r="F894" s="4"/>
    </row>
    <row r="895" spans="2:6" ht="13" x14ac:dyDescent="0.3">
      <c r="B895" s="3"/>
      <c r="F895" s="4"/>
    </row>
    <row r="896" spans="2:6" ht="13" x14ac:dyDescent="0.3">
      <c r="B896" s="3"/>
      <c r="F896" s="4"/>
    </row>
    <row r="897" spans="2:6" ht="13" x14ac:dyDescent="0.3">
      <c r="B897" s="3"/>
      <c r="F897" s="4"/>
    </row>
    <row r="898" spans="2:6" ht="13" x14ac:dyDescent="0.3">
      <c r="B898" s="3"/>
      <c r="F898" s="4"/>
    </row>
    <row r="899" spans="2:6" ht="13" x14ac:dyDescent="0.3">
      <c r="B899" s="3"/>
      <c r="F899" s="4"/>
    </row>
    <row r="900" spans="2:6" ht="13" x14ac:dyDescent="0.3">
      <c r="B900" s="3"/>
      <c r="F900" s="4"/>
    </row>
    <row r="901" spans="2:6" ht="13" x14ac:dyDescent="0.3">
      <c r="B901" s="3"/>
      <c r="F901" s="4"/>
    </row>
    <row r="902" spans="2:6" ht="13" x14ac:dyDescent="0.3">
      <c r="B902" s="3"/>
      <c r="F902" s="4"/>
    </row>
    <row r="903" spans="2:6" ht="13" x14ac:dyDescent="0.3">
      <c r="B903" s="3"/>
      <c r="F903" s="4"/>
    </row>
    <row r="904" spans="2:6" ht="13" x14ac:dyDescent="0.3">
      <c r="B904" s="3"/>
      <c r="F904" s="4"/>
    </row>
    <row r="905" spans="2:6" ht="13" x14ac:dyDescent="0.3">
      <c r="B905" s="3"/>
      <c r="F905" s="4"/>
    </row>
    <row r="906" spans="2:6" ht="13" x14ac:dyDescent="0.3">
      <c r="B906" s="3"/>
      <c r="F906" s="4"/>
    </row>
    <row r="907" spans="2:6" ht="13" x14ac:dyDescent="0.3">
      <c r="B907" s="3"/>
      <c r="F907" s="4"/>
    </row>
    <row r="908" spans="2:6" ht="13" x14ac:dyDescent="0.3">
      <c r="B908" s="3"/>
      <c r="F908" s="4"/>
    </row>
    <row r="909" spans="2:6" ht="13" x14ac:dyDescent="0.3">
      <c r="B909" s="3"/>
      <c r="F909" s="4"/>
    </row>
    <row r="910" spans="2:6" ht="13" x14ac:dyDescent="0.3">
      <c r="B910" s="3"/>
      <c r="F910" s="4"/>
    </row>
    <row r="911" spans="2:6" ht="13" x14ac:dyDescent="0.3">
      <c r="B911" s="3"/>
      <c r="F911" s="4"/>
    </row>
    <row r="912" spans="2:6" ht="13" x14ac:dyDescent="0.3">
      <c r="B912" s="3"/>
      <c r="F912" s="4"/>
    </row>
    <row r="913" spans="2:6" ht="13" x14ac:dyDescent="0.3">
      <c r="B913" s="3"/>
      <c r="F913" s="4"/>
    </row>
    <row r="914" spans="2:6" ht="13" x14ac:dyDescent="0.3">
      <c r="B914" s="3"/>
      <c r="F914" s="4"/>
    </row>
    <row r="915" spans="2:6" ht="13" x14ac:dyDescent="0.3">
      <c r="B915" s="3"/>
      <c r="F915" s="4"/>
    </row>
    <row r="916" spans="2:6" ht="13" x14ac:dyDescent="0.3">
      <c r="B916" s="3"/>
      <c r="F916" s="4"/>
    </row>
    <row r="917" spans="2:6" ht="13" x14ac:dyDescent="0.3">
      <c r="B917" s="3"/>
      <c r="F917" s="4"/>
    </row>
    <row r="918" spans="2:6" ht="13" x14ac:dyDescent="0.3">
      <c r="B918" s="3"/>
      <c r="F918" s="4"/>
    </row>
    <row r="919" spans="2:6" ht="13" x14ac:dyDescent="0.3">
      <c r="B919" s="3"/>
      <c r="F919" s="4"/>
    </row>
    <row r="920" spans="2:6" ht="13" x14ac:dyDescent="0.3">
      <c r="B920" s="3"/>
      <c r="F920" s="4"/>
    </row>
    <row r="921" spans="2:6" ht="13" x14ac:dyDescent="0.3">
      <c r="B921" s="3"/>
      <c r="F921" s="4"/>
    </row>
    <row r="922" spans="2:6" ht="13" x14ac:dyDescent="0.3">
      <c r="B922" s="3"/>
      <c r="F922" s="4"/>
    </row>
    <row r="923" spans="2:6" ht="13" x14ac:dyDescent="0.3">
      <c r="B923" s="3"/>
      <c r="F923" s="4"/>
    </row>
    <row r="924" spans="2:6" ht="13" x14ac:dyDescent="0.3">
      <c r="B924" s="3"/>
      <c r="F924" s="4"/>
    </row>
    <row r="925" spans="2:6" ht="13" x14ac:dyDescent="0.3">
      <c r="B925" s="3"/>
      <c r="F925" s="4"/>
    </row>
    <row r="926" spans="2:6" ht="13" x14ac:dyDescent="0.3">
      <c r="B926" s="3"/>
      <c r="F926" s="4"/>
    </row>
    <row r="927" spans="2:6" ht="13" x14ac:dyDescent="0.3">
      <c r="B927" s="3"/>
      <c r="F927" s="4"/>
    </row>
    <row r="928" spans="2:6" ht="13" x14ac:dyDescent="0.3">
      <c r="B928" s="3"/>
      <c r="F928" s="4"/>
    </row>
    <row r="929" spans="2:6" ht="13" x14ac:dyDescent="0.3">
      <c r="B929" s="3"/>
      <c r="F929" s="4"/>
    </row>
    <row r="930" spans="2:6" ht="13" x14ac:dyDescent="0.3">
      <c r="B930" s="3"/>
      <c r="F930" s="4"/>
    </row>
    <row r="931" spans="2:6" ht="13" x14ac:dyDescent="0.3">
      <c r="B931" s="3"/>
      <c r="F931" s="4"/>
    </row>
    <row r="932" spans="2:6" ht="13" x14ac:dyDescent="0.3">
      <c r="B932" s="3"/>
      <c r="F932" s="4"/>
    </row>
    <row r="933" spans="2:6" ht="13" x14ac:dyDescent="0.3">
      <c r="B933" s="3"/>
      <c r="F933" s="4"/>
    </row>
    <row r="934" spans="2:6" ht="13" x14ac:dyDescent="0.3">
      <c r="B934" s="3"/>
      <c r="F934" s="4"/>
    </row>
    <row r="935" spans="2:6" ht="13" x14ac:dyDescent="0.3">
      <c r="B935" s="3"/>
      <c r="F935" s="4"/>
    </row>
    <row r="936" spans="2:6" ht="13" x14ac:dyDescent="0.3">
      <c r="B936" s="3"/>
      <c r="F936" s="4"/>
    </row>
    <row r="937" spans="2:6" ht="13" x14ac:dyDescent="0.3">
      <c r="B937" s="3"/>
      <c r="F937" s="4"/>
    </row>
    <row r="938" spans="2:6" ht="13" x14ac:dyDescent="0.3">
      <c r="B938" s="3"/>
      <c r="F938" s="4"/>
    </row>
    <row r="939" spans="2:6" ht="13" x14ac:dyDescent="0.3">
      <c r="B939" s="3"/>
      <c r="F939" s="4"/>
    </row>
    <row r="940" spans="2:6" ht="13" x14ac:dyDescent="0.3">
      <c r="B940" s="3"/>
      <c r="F940" s="4"/>
    </row>
    <row r="941" spans="2:6" ht="13" x14ac:dyDescent="0.3">
      <c r="B941" s="3"/>
      <c r="F941" s="4"/>
    </row>
    <row r="942" spans="2:6" ht="13" x14ac:dyDescent="0.3">
      <c r="B942" s="3"/>
      <c r="F942" s="4"/>
    </row>
    <row r="943" spans="2:6" ht="13" x14ac:dyDescent="0.3">
      <c r="B943" s="3"/>
      <c r="F943" s="4"/>
    </row>
    <row r="944" spans="2:6" ht="13" x14ac:dyDescent="0.3">
      <c r="B944" s="3"/>
      <c r="F944" s="4"/>
    </row>
    <row r="945" spans="2:6" ht="13" x14ac:dyDescent="0.3">
      <c r="B945" s="3"/>
      <c r="F945" s="4"/>
    </row>
    <row r="946" spans="2:6" ht="13" x14ac:dyDescent="0.3">
      <c r="B946" s="3"/>
      <c r="F946" s="4"/>
    </row>
    <row r="947" spans="2:6" ht="13" x14ac:dyDescent="0.3">
      <c r="B947" s="3"/>
      <c r="F947" s="4"/>
    </row>
    <row r="948" spans="2:6" ht="13" x14ac:dyDescent="0.3">
      <c r="B948" s="3"/>
      <c r="F948" s="4"/>
    </row>
    <row r="949" spans="2:6" ht="13" x14ac:dyDescent="0.3">
      <c r="B949" s="3"/>
      <c r="F949" s="4"/>
    </row>
    <row r="950" spans="2:6" ht="13" x14ac:dyDescent="0.3">
      <c r="B950" s="3"/>
      <c r="F950" s="4"/>
    </row>
    <row r="951" spans="2:6" ht="13" x14ac:dyDescent="0.3">
      <c r="B951" s="3"/>
      <c r="F951" s="4"/>
    </row>
    <row r="952" spans="2:6" ht="13" x14ac:dyDescent="0.3">
      <c r="B952" s="3"/>
      <c r="F952" s="4"/>
    </row>
    <row r="953" spans="2:6" ht="13" x14ac:dyDescent="0.3">
      <c r="B953" s="3"/>
      <c r="F953" s="4"/>
    </row>
    <row r="954" spans="2:6" ht="13" x14ac:dyDescent="0.3">
      <c r="B954" s="3"/>
      <c r="F954" s="4"/>
    </row>
    <row r="955" spans="2:6" ht="13" x14ac:dyDescent="0.3">
      <c r="B955" s="3"/>
      <c r="F955" s="4"/>
    </row>
    <row r="956" spans="2:6" ht="13" x14ac:dyDescent="0.3">
      <c r="B956" s="3"/>
      <c r="F956" s="4"/>
    </row>
    <row r="957" spans="2:6" ht="13" x14ac:dyDescent="0.3">
      <c r="B957" s="3"/>
      <c r="F957" s="4"/>
    </row>
    <row r="958" spans="2:6" ht="13" x14ac:dyDescent="0.3">
      <c r="B958" s="3"/>
      <c r="F958" s="4"/>
    </row>
    <row r="959" spans="2:6" ht="13" x14ac:dyDescent="0.3">
      <c r="B959" s="3"/>
      <c r="F959" s="4"/>
    </row>
    <row r="960" spans="2:6" ht="13" x14ac:dyDescent="0.3">
      <c r="B960" s="3"/>
      <c r="F960" s="4"/>
    </row>
    <row r="961" spans="2:6" ht="13" x14ac:dyDescent="0.3">
      <c r="B961" s="3"/>
      <c r="F961" s="4"/>
    </row>
    <row r="962" spans="2:6" ht="13" x14ac:dyDescent="0.3">
      <c r="B962" s="3"/>
      <c r="F962" s="4"/>
    </row>
    <row r="963" spans="2:6" ht="13" x14ac:dyDescent="0.3">
      <c r="B963" s="3"/>
      <c r="F963" s="4"/>
    </row>
    <row r="964" spans="2:6" ht="13" x14ac:dyDescent="0.3">
      <c r="B964" s="3"/>
      <c r="F964" s="4"/>
    </row>
    <row r="965" spans="2:6" ht="13" x14ac:dyDescent="0.3">
      <c r="B965" s="3"/>
      <c r="F965" s="4"/>
    </row>
    <row r="966" spans="2:6" ht="13" x14ac:dyDescent="0.3">
      <c r="B966" s="3"/>
      <c r="F966" s="4"/>
    </row>
    <row r="967" spans="2:6" ht="13" x14ac:dyDescent="0.3">
      <c r="B967" s="3"/>
      <c r="F967" s="4"/>
    </row>
    <row r="968" spans="2:6" ht="13" x14ac:dyDescent="0.3">
      <c r="B968" s="3"/>
      <c r="F968" s="4"/>
    </row>
    <row r="969" spans="2:6" ht="13" x14ac:dyDescent="0.3">
      <c r="B969" s="3"/>
      <c r="F969" s="4"/>
    </row>
    <row r="970" spans="2:6" ht="13" x14ac:dyDescent="0.3">
      <c r="B970" s="3"/>
      <c r="F970" s="4"/>
    </row>
    <row r="971" spans="2:6" ht="13" x14ac:dyDescent="0.3">
      <c r="B971" s="3"/>
      <c r="F971" s="4"/>
    </row>
    <row r="972" spans="2:6" ht="13" x14ac:dyDescent="0.3">
      <c r="B972" s="3"/>
      <c r="F972" s="4"/>
    </row>
    <row r="973" spans="2:6" ht="13" x14ac:dyDescent="0.3">
      <c r="B973" s="3"/>
      <c r="F973" s="4"/>
    </row>
    <row r="974" spans="2:6" ht="13" x14ac:dyDescent="0.3">
      <c r="B974" s="3"/>
      <c r="F974" s="4"/>
    </row>
    <row r="975" spans="2:6" ht="13" x14ac:dyDescent="0.3">
      <c r="B975" s="3"/>
      <c r="F975" s="4"/>
    </row>
    <row r="976" spans="2:6" ht="13" x14ac:dyDescent="0.3">
      <c r="B976" s="3"/>
      <c r="F976" s="4"/>
    </row>
    <row r="977" spans="2:6" ht="13" x14ac:dyDescent="0.3">
      <c r="B977" s="3"/>
      <c r="F977" s="4"/>
    </row>
    <row r="978" spans="2:6" ht="13" x14ac:dyDescent="0.3">
      <c r="B978" s="3"/>
      <c r="F978" s="4"/>
    </row>
    <row r="979" spans="2:6" ht="13" x14ac:dyDescent="0.3">
      <c r="B979" s="3"/>
      <c r="F979" s="4"/>
    </row>
    <row r="980" spans="2:6" ht="13" x14ac:dyDescent="0.3">
      <c r="B980" s="3"/>
      <c r="F980" s="4"/>
    </row>
    <row r="981" spans="2:6" ht="13" x14ac:dyDescent="0.3">
      <c r="B981" s="3"/>
      <c r="F981" s="4"/>
    </row>
    <row r="982" spans="2:6" ht="13" x14ac:dyDescent="0.3">
      <c r="B982" s="3"/>
      <c r="F982" s="4"/>
    </row>
    <row r="983" spans="2:6" ht="13" x14ac:dyDescent="0.3">
      <c r="B983" s="3"/>
      <c r="F983" s="4"/>
    </row>
    <row r="984" spans="2:6" ht="13" x14ac:dyDescent="0.3">
      <c r="B984" s="3"/>
      <c r="F984" s="4"/>
    </row>
    <row r="985" spans="2:6" ht="13" x14ac:dyDescent="0.3">
      <c r="B985" s="3"/>
      <c r="F985" s="4"/>
    </row>
    <row r="986" spans="2:6" ht="13" x14ac:dyDescent="0.3">
      <c r="B986" s="3"/>
      <c r="F986" s="4"/>
    </row>
    <row r="987" spans="2:6" ht="13" x14ac:dyDescent="0.3">
      <c r="B987" s="3"/>
      <c r="F987" s="4"/>
    </row>
    <row r="988" spans="2:6" ht="13" x14ac:dyDescent="0.3">
      <c r="B988" s="3"/>
      <c r="F988" s="4"/>
    </row>
    <row r="989" spans="2:6" ht="13" x14ac:dyDescent="0.3">
      <c r="B989" s="3"/>
      <c r="F989" s="4"/>
    </row>
    <row r="990" spans="2:6" ht="13" x14ac:dyDescent="0.3">
      <c r="B990" s="3"/>
      <c r="F990" s="4"/>
    </row>
    <row r="991" spans="2:6" ht="13" x14ac:dyDescent="0.3">
      <c r="B991" s="3"/>
      <c r="F991" s="4"/>
    </row>
    <row r="992" spans="2:6" ht="13" x14ac:dyDescent="0.3">
      <c r="B992" s="3"/>
      <c r="F992" s="4"/>
    </row>
    <row r="993" spans="2:6" ht="13" x14ac:dyDescent="0.3">
      <c r="B993" s="3"/>
      <c r="F993" s="4"/>
    </row>
    <row r="994" spans="2:6" ht="13" x14ac:dyDescent="0.3">
      <c r="B994" s="3"/>
      <c r="F994" s="4"/>
    </row>
    <row r="995" spans="2:6" ht="13" x14ac:dyDescent="0.3">
      <c r="B995" s="3"/>
      <c r="F995" s="4"/>
    </row>
    <row r="996" spans="2:6" ht="13" x14ac:dyDescent="0.3">
      <c r="B996" s="3"/>
      <c r="F996" s="4"/>
    </row>
    <row r="997" spans="2:6" ht="13" x14ac:dyDescent="0.3">
      <c r="B997" s="3"/>
      <c r="F997" s="4"/>
    </row>
    <row r="998" spans="2:6" ht="13" x14ac:dyDescent="0.3">
      <c r="B998" s="3"/>
      <c r="F998" s="4"/>
    </row>
    <row r="999" spans="2:6" ht="13" x14ac:dyDescent="0.3">
      <c r="B999" s="3"/>
      <c r="F999" s="4"/>
    </row>
    <row r="1000" spans="2:6" ht="13" x14ac:dyDescent="0.3">
      <c r="B1000" s="3"/>
      <c r="F1000" s="4"/>
    </row>
    <row r="1001" spans="2:6" ht="13" x14ac:dyDescent="0.3">
      <c r="B1001" s="3"/>
      <c r="F100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Approved OMNIA Dealers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McClelland</dc:creator>
  <cp:lastModifiedBy>Anna McClelland</cp:lastModifiedBy>
  <dcterms:created xsi:type="dcterms:W3CDTF">2021-10-21T19:44:03Z</dcterms:created>
  <dcterms:modified xsi:type="dcterms:W3CDTF">2021-10-21T20:10:06Z</dcterms:modified>
</cp:coreProperties>
</file>